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lsx" ContentType="application/vnd.openxmlformats-officedocument.spreadsheetml.sheet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365ku-my.sharepoint.com/personal/suwanna_s_live_ku_th/Documents/Documents/"/>
    </mc:Choice>
  </mc:AlternateContent>
  <xr:revisionPtr revIDLastSave="1" documentId="8_{11AE0760-E36B-4DB9-9EE9-CA53C9A3DD1A}" xr6:coauthVersionLast="47" xr6:coauthVersionMax="47" xr10:uidLastSave="{E2E1C368-3C43-4A50-B151-A356CDFDDB5C}"/>
  <bookViews>
    <workbookView xWindow="1080" yWindow="830" windowWidth="19010" windowHeight="17280" activeTab="1" xr2:uid="{00000000-000D-0000-FFFF-FFFF00000000}"/>
  </bookViews>
  <sheets>
    <sheet name="การลงทุนและค่าเสื่อม" sheetId="7" r:id="rId1"/>
    <sheet name="CBA -ข้อมูลจากบันทึกของฟาร์ม" sheetId="13" r:id="rId2"/>
    <sheet name="CBA -ข้อมูลจากหลายฟาร์ม" sheetId="11" r:id="rId3"/>
    <sheet name="Sheet1" sheetId="12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22" i="13" l="1"/>
  <c r="P27" i="13"/>
  <c r="M27" i="13"/>
  <c r="J27" i="13"/>
  <c r="G27" i="13"/>
  <c r="D27" i="13"/>
  <c r="M26" i="13"/>
  <c r="E33" i="13"/>
  <c r="E35" i="13" s="1"/>
  <c r="B37" i="13" s="1"/>
  <c r="C37" i="13" s="1"/>
  <c r="D37" i="13" s="1"/>
  <c r="E37" i="13" s="1"/>
  <c r="V32" i="13"/>
  <c r="P22" i="13"/>
  <c r="M22" i="13"/>
  <c r="J22" i="13"/>
  <c r="G22" i="13"/>
  <c r="D22" i="13"/>
  <c r="R21" i="13"/>
  <c r="S21" i="13" s="1"/>
  <c r="O21" i="13"/>
  <c r="P21" i="13" s="1"/>
  <c r="L21" i="13"/>
  <c r="M21" i="13" s="1"/>
  <c r="I21" i="13"/>
  <c r="J21" i="13" s="1"/>
  <c r="F21" i="13"/>
  <c r="G21" i="13" s="1"/>
  <c r="C21" i="13"/>
  <c r="D21" i="13" s="1"/>
  <c r="R20" i="13"/>
  <c r="S20" i="13" s="1"/>
  <c r="O20" i="13"/>
  <c r="L20" i="13"/>
  <c r="I20" i="13"/>
  <c r="F20" i="13"/>
  <c r="C20" i="13"/>
  <c r="S19" i="13"/>
  <c r="R19" i="13"/>
  <c r="Q19" i="13"/>
  <c r="M19" i="13" s="1"/>
  <c r="P19" i="13"/>
  <c r="O19" i="13"/>
  <c r="N19" i="13"/>
  <c r="N18" i="13" s="1"/>
  <c r="L19" i="13"/>
  <c r="L18" i="13" s="1"/>
  <c r="K19" i="13"/>
  <c r="K18" i="13" s="1"/>
  <c r="I19" i="13"/>
  <c r="H19" i="13"/>
  <c r="G19" i="13"/>
  <c r="F19" i="13"/>
  <c r="F18" i="13" s="1"/>
  <c r="E19" i="13"/>
  <c r="C19" i="13"/>
  <c r="B19" i="13"/>
  <c r="Q18" i="13"/>
  <c r="H18" i="13"/>
  <c r="E18" i="13"/>
  <c r="B18" i="13"/>
  <c r="Q16" i="13"/>
  <c r="S16" i="13" s="1"/>
  <c r="N16" i="13"/>
  <c r="P16" i="13" s="1"/>
  <c r="K16" i="13"/>
  <c r="M16" i="13" s="1"/>
  <c r="H16" i="13"/>
  <c r="J16" i="13" s="1"/>
  <c r="E16" i="13"/>
  <c r="G16" i="13" s="1"/>
  <c r="B16" i="13"/>
  <c r="D16" i="13" s="1"/>
  <c r="Q15" i="13"/>
  <c r="S15" i="13" s="1"/>
  <c r="P15" i="13"/>
  <c r="M15" i="13"/>
  <c r="J15" i="13"/>
  <c r="G15" i="13"/>
  <c r="D15" i="13"/>
  <c r="Q14" i="13"/>
  <c r="S14" i="13" s="1"/>
  <c r="P14" i="13"/>
  <c r="M14" i="13"/>
  <c r="J14" i="13"/>
  <c r="G14" i="13"/>
  <c r="D14" i="13"/>
  <c r="Q13" i="13"/>
  <c r="S13" i="13" s="1"/>
  <c r="P13" i="13"/>
  <c r="M13" i="13"/>
  <c r="J13" i="13"/>
  <c r="G13" i="13"/>
  <c r="B13" i="13"/>
  <c r="D13" i="13" s="1"/>
  <c r="R12" i="13"/>
  <c r="S12" i="13" s="1"/>
  <c r="O12" i="13"/>
  <c r="P12" i="13" s="1"/>
  <c r="L12" i="13"/>
  <c r="M12" i="13" s="1"/>
  <c r="I12" i="13"/>
  <c r="J12" i="13" s="1"/>
  <c r="F12" i="13"/>
  <c r="C12" i="13"/>
  <c r="D12" i="13" s="1"/>
  <c r="Z10" i="13"/>
  <c r="Q9" i="13"/>
  <c r="S9" i="13" s="1"/>
  <c r="N9" i="13"/>
  <c r="P9" i="13" s="1"/>
  <c r="K9" i="13"/>
  <c r="M9" i="13" s="1"/>
  <c r="H9" i="13"/>
  <c r="J9" i="13" s="1"/>
  <c r="E9" i="13"/>
  <c r="B9" i="13"/>
  <c r="D9" i="13" s="1"/>
  <c r="Q8" i="13"/>
  <c r="S8" i="13" s="1"/>
  <c r="N8" i="13"/>
  <c r="N5" i="13" s="1"/>
  <c r="K8" i="13"/>
  <c r="H8" i="13"/>
  <c r="E8" i="13"/>
  <c r="G8" i="13" s="1"/>
  <c r="B8" i="13"/>
  <c r="D8" i="13" s="1"/>
  <c r="P7" i="13"/>
  <c r="M7" i="13"/>
  <c r="J7" i="13"/>
  <c r="G7" i="13"/>
  <c r="B7" i="13"/>
  <c r="D7" i="13" s="1"/>
  <c r="V5" i="13"/>
  <c r="Q10" i="13" s="1"/>
  <c r="R22" i="11"/>
  <c r="V31" i="11"/>
  <c r="C12" i="11"/>
  <c r="B8" i="11"/>
  <c r="B9" i="11"/>
  <c r="B13" i="11"/>
  <c r="B16" i="11"/>
  <c r="B5" i="11"/>
  <c r="C17" i="11"/>
  <c r="C5" i="11"/>
  <c r="C19" i="11"/>
  <c r="C20" i="11"/>
  <c r="C21" i="11"/>
  <c r="C18" i="11"/>
  <c r="C23" i="11"/>
  <c r="E32" i="11"/>
  <c r="C25" i="11"/>
  <c r="B19" i="11"/>
  <c r="B18" i="11"/>
  <c r="B23" i="11"/>
  <c r="D23" i="11"/>
  <c r="D25" i="11"/>
  <c r="E8" i="11"/>
  <c r="E9" i="11"/>
  <c r="E16" i="11"/>
  <c r="E5" i="11"/>
  <c r="E19" i="11"/>
  <c r="E18" i="11"/>
  <c r="E23" i="11"/>
  <c r="E25" i="11"/>
  <c r="F12" i="11"/>
  <c r="F17" i="11"/>
  <c r="F5" i="11"/>
  <c r="F19" i="11"/>
  <c r="F20" i="11"/>
  <c r="F21" i="11"/>
  <c r="F18" i="11"/>
  <c r="F23" i="11"/>
  <c r="F25" i="11"/>
  <c r="G23" i="11"/>
  <c r="G25" i="11"/>
  <c r="H8" i="11"/>
  <c r="H9" i="11"/>
  <c r="H16" i="11"/>
  <c r="H5" i="11"/>
  <c r="H19" i="11"/>
  <c r="H18" i="11"/>
  <c r="H23" i="11"/>
  <c r="H25" i="11"/>
  <c r="I12" i="11"/>
  <c r="I17" i="11"/>
  <c r="I5" i="11"/>
  <c r="I19" i="11"/>
  <c r="I20" i="11"/>
  <c r="I21" i="11"/>
  <c r="I18" i="11"/>
  <c r="I23" i="11"/>
  <c r="I25" i="11"/>
  <c r="J23" i="11"/>
  <c r="J25" i="11"/>
  <c r="K8" i="11"/>
  <c r="K9" i="11"/>
  <c r="K16" i="11"/>
  <c r="K5" i="11"/>
  <c r="K19" i="11"/>
  <c r="K18" i="11"/>
  <c r="K23" i="11"/>
  <c r="K25" i="11"/>
  <c r="L12" i="11"/>
  <c r="L17" i="11"/>
  <c r="L5" i="11"/>
  <c r="L19" i="11"/>
  <c r="L20" i="11"/>
  <c r="L21" i="11"/>
  <c r="L18" i="11"/>
  <c r="L23" i="11"/>
  <c r="L25" i="11"/>
  <c r="M23" i="11"/>
  <c r="M25" i="11"/>
  <c r="N8" i="11"/>
  <c r="N9" i="11"/>
  <c r="N16" i="11"/>
  <c r="N5" i="11"/>
  <c r="N19" i="11"/>
  <c r="N18" i="11"/>
  <c r="N23" i="11"/>
  <c r="N25" i="11"/>
  <c r="O12" i="11"/>
  <c r="O17" i="11"/>
  <c r="O5" i="11"/>
  <c r="O19" i="11"/>
  <c r="O20" i="11"/>
  <c r="O21" i="11"/>
  <c r="O18" i="11"/>
  <c r="O23" i="11"/>
  <c r="O25" i="11"/>
  <c r="P23" i="11"/>
  <c r="P25" i="11"/>
  <c r="Q8" i="11"/>
  <c r="Q9" i="11"/>
  <c r="Z10" i="11"/>
  <c r="V5" i="11"/>
  <c r="Q10" i="11"/>
  <c r="Q13" i="11"/>
  <c r="Q14" i="11"/>
  <c r="Q15" i="11"/>
  <c r="Q16" i="11"/>
  <c r="Q5" i="11"/>
  <c r="Q19" i="11"/>
  <c r="Q18" i="11"/>
  <c r="Q23" i="11"/>
  <c r="Q25" i="11"/>
  <c r="R12" i="11"/>
  <c r="R17" i="11"/>
  <c r="R5" i="11"/>
  <c r="R19" i="11"/>
  <c r="R20" i="11"/>
  <c r="R21" i="11"/>
  <c r="R18" i="11"/>
  <c r="R23" i="11"/>
  <c r="R25" i="11"/>
  <c r="S23" i="11"/>
  <c r="S25" i="11"/>
  <c r="B25" i="11"/>
  <c r="D24" i="11"/>
  <c r="E24" i="11"/>
  <c r="F24" i="11"/>
  <c r="G24" i="11"/>
  <c r="H24" i="11"/>
  <c r="I24" i="11"/>
  <c r="J24" i="11"/>
  <c r="K24" i="11"/>
  <c r="L24" i="11"/>
  <c r="M24" i="11"/>
  <c r="N24" i="11"/>
  <c r="O24" i="11"/>
  <c r="P24" i="11"/>
  <c r="Q24" i="11"/>
  <c r="R24" i="11"/>
  <c r="S24" i="11"/>
  <c r="C24" i="11"/>
  <c r="B24" i="11"/>
  <c r="E34" i="11"/>
  <c r="B39" i="11"/>
  <c r="C39" i="11"/>
  <c r="D39" i="11"/>
  <c r="E39" i="11"/>
  <c r="B38" i="11"/>
  <c r="C38" i="11"/>
  <c r="D38" i="11"/>
  <c r="E38" i="11"/>
  <c r="B37" i="11"/>
  <c r="C37" i="11"/>
  <c r="D37" i="11"/>
  <c r="E37" i="11"/>
  <c r="B36" i="11"/>
  <c r="C36" i="11"/>
  <c r="D36" i="11"/>
  <c r="E36" i="11"/>
  <c r="S19" i="11"/>
  <c r="S20" i="11"/>
  <c r="S21" i="11"/>
  <c r="S22" i="11"/>
  <c r="S18" i="11"/>
  <c r="P22" i="11"/>
  <c r="M22" i="11"/>
  <c r="J22" i="11"/>
  <c r="G22" i="11"/>
  <c r="D22" i="11"/>
  <c r="V9" i="11"/>
  <c r="P21" i="11"/>
  <c r="M21" i="11"/>
  <c r="J21" i="11"/>
  <c r="G21" i="11"/>
  <c r="D21" i="11"/>
  <c r="P19" i="11"/>
  <c r="P18" i="11"/>
  <c r="M19" i="11"/>
  <c r="M18" i="11"/>
  <c r="J19" i="11"/>
  <c r="J18" i="11"/>
  <c r="G19" i="11"/>
  <c r="G18" i="11"/>
  <c r="D19" i="11"/>
  <c r="D18" i="11"/>
  <c r="D17" i="11"/>
  <c r="D8" i="11"/>
  <c r="D9" i="11"/>
  <c r="D12" i="11"/>
  <c r="D13" i="11"/>
  <c r="D14" i="11"/>
  <c r="D15" i="11"/>
  <c r="D16" i="11"/>
  <c r="D5" i="11"/>
  <c r="G17" i="11"/>
  <c r="G8" i="11"/>
  <c r="G9" i="11"/>
  <c r="G12" i="11"/>
  <c r="G13" i="11"/>
  <c r="G14" i="11"/>
  <c r="G15" i="11"/>
  <c r="G16" i="11"/>
  <c r="G5" i="11"/>
  <c r="J17" i="11"/>
  <c r="J8" i="11"/>
  <c r="J9" i="11"/>
  <c r="J12" i="11"/>
  <c r="J13" i="11"/>
  <c r="J14" i="11"/>
  <c r="J15" i="11"/>
  <c r="J16" i="11"/>
  <c r="J5" i="11"/>
  <c r="M17" i="11"/>
  <c r="M8" i="11"/>
  <c r="M9" i="11"/>
  <c r="M12" i="11"/>
  <c r="M13" i="11"/>
  <c r="M14" i="11"/>
  <c r="M15" i="11"/>
  <c r="M16" i="11"/>
  <c r="M5" i="11"/>
  <c r="P17" i="11"/>
  <c r="P8" i="11"/>
  <c r="P9" i="11"/>
  <c r="P12" i="11"/>
  <c r="P13" i="11"/>
  <c r="P14" i="11"/>
  <c r="P15" i="11"/>
  <c r="P16" i="11"/>
  <c r="P5" i="11"/>
  <c r="B7" i="11"/>
  <c r="P7" i="11"/>
  <c r="M7" i="11"/>
  <c r="J7" i="11"/>
  <c r="G7" i="11"/>
  <c r="D7" i="11"/>
  <c r="S17" i="11"/>
  <c r="S16" i="11"/>
  <c r="S15" i="11"/>
  <c r="S14" i="11"/>
  <c r="S13" i="11"/>
  <c r="S12" i="11"/>
  <c r="S10" i="11"/>
  <c r="S9" i="11"/>
  <c r="S8" i="11"/>
  <c r="S5" i="11"/>
  <c r="N11" i="7"/>
  <c r="N15" i="7"/>
  <c r="C22" i="7"/>
  <c r="C19" i="7"/>
  <c r="D14" i="7"/>
  <c r="D13" i="7"/>
  <c r="D10" i="7"/>
  <c r="D12" i="7"/>
  <c r="D11" i="7"/>
  <c r="F9" i="7"/>
  <c r="D9" i="7"/>
  <c r="D8" i="7"/>
  <c r="D7" i="7"/>
  <c r="F6" i="7"/>
  <c r="D6" i="7"/>
  <c r="G6" i="7"/>
  <c r="O6" i="7"/>
  <c r="O8" i="7"/>
  <c r="O9" i="7"/>
  <c r="G11" i="7"/>
  <c r="O11" i="7"/>
  <c r="O12" i="7"/>
  <c r="O10" i="7"/>
  <c r="O13" i="7"/>
  <c r="O14" i="7"/>
  <c r="O15" i="7"/>
  <c r="C28" i="7"/>
  <c r="C26" i="7"/>
  <c r="C24" i="7"/>
  <c r="D15" i="7"/>
  <c r="N6" i="7"/>
  <c r="N7" i="7"/>
  <c r="N8" i="7"/>
  <c r="N9" i="7"/>
  <c r="N12" i="7"/>
  <c r="N10" i="7"/>
  <c r="N13" i="7"/>
  <c r="N14" i="7"/>
  <c r="J6" i="7"/>
  <c r="K6" i="7"/>
  <c r="L6" i="7"/>
  <c r="J7" i="7"/>
  <c r="K7" i="7"/>
  <c r="L7" i="7"/>
  <c r="J8" i="7"/>
  <c r="K8" i="7"/>
  <c r="L8" i="7"/>
  <c r="J9" i="7"/>
  <c r="K9" i="7"/>
  <c r="L9" i="7"/>
  <c r="J11" i="7"/>
  <c r="K11" i="7"/>
  <c r="L11" i="7"/>
  <c r="J12" i="7"/>
  <c r="K12" i="7"/>
  <c r="L12" i="7"/>
  <c r="J10" i="7"/>
  <c r="K10" i="7"/>
  <c r="L10" i="7"/>
  <c r="J13" i="7"/>
  <c r="K13" i="7"/>
  <c r="L13" i="7"/>
  <c r="J14" i="7"/>
  <c r="K14" i="7"/>
  <c r="L14" i="7"/>
  <c r="L15" i="7"/>
  <c r="I6" i="7"/>
  <c r="G7" i="7"/>
  <c r="I7" i="7"/>
  <c r="G8" i="7"/>
  <c r="I8" i="7"/>
  <c r="G9" i="7"/>
  <c r="I9" i="7"/>
  <c r="G10" i="7"/>
  <c r="I10" i="7"/>
  <c r="I11" i="7"/>
  <c r="G12" i="7"/>
  <c r="I12" i="7"/>
  <c r="G13" i="7"/>
  <c r="I13" i="7"/>
  <c r="G14" i="7"/>
  <c r="I14" i="7"/>
  <c r="I15" i="7"/>
  <c r="H5" i="13" l="1"/>
  <c r="G18" i="13"/>
  <c r="K5" i="13"/>
  <c r="L17" i="13" s="1"/>
  <c r="P8" i="13"/>
  <c r="C18" i="13"/>
  <c r="D19" i="13"/>
  <c r="D18" i="13" s="1"/>
  <c r="I18" i="13"/>
  <c r="E5" i="13"/>
  <c r="F17" i="13" s="1"/>
  <c r="G17" i="13" s="1"/>
  <c r="O18" i="13"/>
  <c r="P18" i="13"/>
  <c r="O17" i="13"/>
  <c r="N23" i="13"/>
  <c r="S10" i="13"/>
  <c r="Q5" i="13"/>
  <c r="H23" i="13"/>
  <c r="I17" i="13"/>
  <c r="M18" i="13"/>
  <c r="K23" i="13"/>
  <c r="B5" i="13"/>
  <c r="M8" i="13"/>
  <c r="G9" i="13"/>
  <c r="G12" i="13"/>
  <c r="V9" i="13"/>
  <c r="J19" i="13"/>
  <c r="J18" i="13" s="1"/>
  <c r="J8" i="13"/>
  <c r="E23" i="13" l="1"/>
  <c r="E25" i="13" s="1"/>
  <c r="G5" i="13"/>
  <c r="P17" i="13"/>
  <c r="P5" i="13" s="1"/>
  <c r="O5" i="13"/>
  <c r="O23" i="13" s="1"/>
  <c r="M17" i="13"/>
  <c r="M5" i="13" s="1"/>
  <c r="L5" i="13"/>
  <c r="L23" i="13" s="1"/>
  <c r="I5" i="13"/>
  <c r="I23" i="13" s="1"/>
  <c r="J17" i="13"/>
  <c r="J5" i="13" s="1"/>
  <c r="H24" i="13"/>
  <c r="H25" i="13"/>
  <c r="F5" i="13"/>
  <c r="F23" i="13" s="1"/>
  <c r="N25" i="13"/>
  <c r="N24" i="13"/>
  <c r="P23" i="13"/>
  <c r="C17" i="13"/>
  <c r="B23" i="13"/>
  <c r="R17" i="13"/>
  <c r="Q23" i="13"/>
  <c r="K25" i="13"/>
  <c r="K24" i="13"/>
  <c r="E24" i="13" l="1"/>
  <c r="I24" i="13"/>
  <c r="I25" i="13"/>
  <c r="L25" i="13"/>
  <c r="L24" i="13"/>
  <c r="F25" i="13"/>
  <c r="F24" i="13"/>
  <c r="G23" i="13"/>
  <c r="P24" i="13"/>
  <c r="P25" i="13"/>
  <c r="B38" i="13"/>
  <c r="C38" i="13" s="1"/>
  <c r="D38" i="13" s="1"/>
  <c r="E38" i="13" s="1"/>
  <c r="Q24" i="13"/>
  <c r="Q25" i="13"/>
  <c r="S17" i="13"/>
  <c r="R5" i="13"/>
  <c r="O24" i="13"/>
  <c r="O25" i="13"/>
  <c r="B25" i="13"/>
  <c r="B24" i="13"/>
  <c r="D17" i="13"/>
  <c r="D5" i="13" s="1"/>
  <c r="C5" i="13"/>
  <c r="C23" i="13" s="1"/>
  <c r="J23" i="13"/>
  <c r="M23" i="13"/>
  <c r="G24" i="13" l="1"/>
  <c r="G25" i="13"/>
  <c r="C25" i="13"/>
  <c r="C24" i="13"/>
  <c r="J25" i="13"/>
  <c r="J24" i="13"/>
  <c r="D23" i="13"/>
  <c r="M25" i="13"/>
  <c r="M24" i="13"/>
  <c r="S5" i="13"/>
  <c r="D25" i="13" l="1"/>
  <c r="D24" i="13"/>
  <c r="S22" i="13" l="1"/>
  <c r="S18" i="13" s="1"/>
  <c r="R18" i="13"/>
  <c r="R23" i="13" s="1"/>
  <c r="R25" i="13" l="1"/>
  <c r="R24" i="13"/>
  <c r="B39" i="13"/>
  <c r="C39" i="13" s="1"/>
  <c r="D39" i="13" s="1"/>
  <c r="E39" i="13" s="1"/>
  <c r="S23" i="13"/>
  <c r="S25" i="13" l="1"/>
  <c r="S24" i="13"/>
  <c r="B40" i="13"/>
  <c r="C40" i="13" s="1"/>
  <c r="D40" i="13" s="1"/>
  <c r="E40" i="13" s="1"/>
</calcChain>
</file>

<file path=xl/sharedStrings.xml><?xml version="1.0" encoding="utf-8"?>
<sst xmlns="http://schemas.openxmlformats.org/spreadsheetml/2006/main" count="378" uniqueCount="161">
  <si>
    <t> </t>
  </si>
  <si>
    <t>มูลค่าซื้อ</t>
  </si>
  <si>
    <t>อายุการใช้งาน</t>
  </si>
  <si>
    <t>มูลค่าซาก</t>
  </si>
  <si>
    <t>ค่าเสื่อม/ปี</t>
  </si>
  <si>
    <t>บ่อน้ำบาดาล</t>
  </si>
  <si>
    <t>รถปิ๊กอัพ</t>
  </si>
  <si>
    <t>มอเตอร์ไซด์</t>
  </si>
  <si>
    <t>รถตัดหญ้า</t>
  </si>
  <si>
    <t> รวมค่าเสื่อม</t>
  </si>
  <si>
    <t>AIV</t>
  </si>
  <si>
    <t>ค่าเสียโอกาสของเงินทุน</t>
  </si>
  <si>
    <t xml:space="preserve"> รายการ</t>
  </si>
  <si>
    <t xml:space="preserve"> เป็นเงินสด</t>
  </si>
  <si>
    <t xml:space="preserve"> ไม่เป็นเงินสด</t>
  </si>
  <si>
    <t xml:space="preserve"> รวม</t>
  </si>
  <si>
    <t xml:space="preserve"> 1.ต้นทุนผันแปร</t>
  </si>
  <si>
    <t xml:space="preserve"> 1.1 ค่าวัสดุการเกษตร</t>
  </si>
  <si>
    <t xml:space="preserve">  </t>
  </si>
  <si>
    <t xml:space="preserve"> 1.2 แรงงานคน</t>
  </si>
  <si>
    <t xml:space="preserve">   -แรงงานครัวเรือน</t>
  </si>
  <si>
    <t xml:space="preserve"> 1.7 ค่าซ่อมบำรุง</t>
  </si>
  <si>
    <t xml:space="preserve"> 1.8 ค่าเสียโอกาสเงินทุนระยะสั้น</t>
  </si>
  <si>
    <t xml:space="preserve"> 2. ต้นทุนคงที่</t>
  </si>
  <si>
    <t xml:space="preserve"> 2.1 ค่าเสียโอกาสการใช้ที่ดินของตนเอง</t>
  </si>
  <si>
    <t xml:space="preserve"> 2.3 ค่าเสื่อมอุปกรณ์และโรงเรือน</t>
  </si>
  <si>
    <t xml:space="preserve"> 2.4 ค่าเสียโอกาสเงินทุนระยะยาว</t>
  </si>
  <si>
    <t xml:space="preserve"> รวมต้นทุนทั้งหมด(บาท/ฟาร์ม)</t>
  </si>
  <si>
    <t>ค่าบำรุงรักษา</t>
  </si>
  <si>
    <t xml:space="preserve"> </t>
  </si>
  <si>
    <t>จำนวน</t>
  </si>
  <si>
    <t>รวมมูลค่าซื้อ</t>
  </si>
  <si>
    <t>% ต่อปี</t>
  </si>
  <si>
    <t>ไร่</t>
  </si>
  <si>
    <t>บาท/ไร่</t>
  </si>
  <si>
    <t>แรงงานครัวเรือน</t>
  </si>
  <si>
    <t>แรงงานประจำ</t>
  </si>
  <si>
    <t>บาท/เดือน</t>
  </si>
  <si>
    <t>วัน</t>
  </si>
  <si>
    <t>ค่าจ้าง</t>
  </si>
  <si>
    <t>โรงเรือนเก็บวัสดุอุปกรณ์</t>
  </si>
  <si>
    <t>ระบบสปริงเกอร์</t>
  </si>
  <si>
    <t>รถพ่นยาแอร์บัส</t>
  </si>
  <si>
    <t>จอบ</t>
  </si>
  <si>
    <t>พลั่ว</t>
  </si>
  <si>
    <t>ค่าเสียโอกาส/ฟาร์ม</t>
  </si>
  <si>
    <t>ค่าบำรุงรักษา/ฟาร์ม</t>
  </si>
  <si>
    <t>เงินลงทุน</t>
  </si>
  <si>
    <t>ปีที่ 1</t>
  </si>
  <si>
    <t>ปีที่ 2</t>
  </si>
  <si>
    <t>ปีที่ 0</t>
  </si>
  <si>
    <t>ปีที่ 3</t>
  </si>
  <si>
    <t>ปีที่ 4</t>
  </si>
  <si>
    <t>ปีที่ 5</t>
  </si>
  <si>
    <t>ปีที่ 6</t>
  </si>
  <si>
    <t>ปีที่ 7</t>
  </si>
  <si>
    <t>ปีที่ 8</t>
  </si>
  <si>
    <t>ปีที่ 9</t>
  </si>
  <si>
    <t>ปีที่ 10</t>
  </si>
  <si>
    <t>มูลค่าคงเหลือเมื่อเปิดโครงการ</t>
  </si>
  <si>
    <t>อายุโครงการ</t>
  </si>
  <si>
    <t>ปี</t>
  </si>
  <si>
    <t>ค่าแรงงานปลูก</t>
  </si>
  <si>
    <t>ระยะปลูก</t>
  </si>
  <si>
    <t>ต้น/ไร่</t>
  </si>
  <si>
    <t>รวม</t>
  </si>
  <si>
    <t>ต้น</t>
  </si>
  <si>
    <t>ค่าปลูกซ่อม</t>
  </si>
  <si>
    <t>ค่าปุ๋ยบำรุงต้น</t>
  </si>
  <si>
    <t>ค่าสารเคมี</t>
  </si>
  <si>
    <t>ค่าไฟฟ้าและพลังงาน</t>
  </si>
  <si>
    <t>วันทำงาน</t>
  </si>
  <si>
    <t>ค่าจ้างแรงงานท้องถิ่น</t>
  </si>
  <si>
    <t>บาท/วัน</t>
  </si>
  <si>
    <t>บาท/ปี</t>
  </si>
  <si>
    <t>แรงงานจ้าง</t>
  </si>
  <si>
    <t>คน</t>
  </si>
  <si>
    <t>จำนวนวัน</t>
  </si>
  <si>
    <t>ผลผลิตเฉลี่ย</t>
  </si>
  <si>
    <t>ผล</t>
  </si>
  <si>
    <t>น้ำหนักเฉลี่ย</t>
  </si>
  <si>
    <t>กก/ผล</t>
  </si>
  <si>
    <t>กก./ฟาร์ม</t>
  </si>
  <si>
    <t>บาท/กก.</t>
  </si>
  <si>
    <t>Financial rate</t>
  </si>
  <si>
    <t>Reinvestment rate</t>
  </si>
  <si>
    <t>ต่อปี</t>
  </si>
  <si>
    <t xml:space="preserve"> - ค่าปุ๋ยบำรุงต้น</t>
  </si>
  <si>
    <t>พื้นที่ปลูก</t>
  </si>
  <si>
    <t>ราคาขายผลผลิต</t>
  </si>
  <si>
    <t>A</t>
  </si>
  <si>
    <t xml:space="preserve">B </t>
  </si>
  <si>
    <t>C</t>
  </si>
  <si>
    <t>D</t>
  </si>
  <si>
    <t>คละ/เฉลี่ย</t>
  </si>
  <si>
    <t>ค่าเชาที่ดินใกล้เคียง</t>
  </si>
  <si>
    <t>ภาษี</t>
  </si>
  <si>
    <t xml:space="preserve"> - ค่าสารเคมี</t>
  </si>
  <si>
    <t xml:space="preserve"> - เชือกฟาง</t>
  </si>
  <si>
    <t>ค่าวัสดุ</t>
  </si>
  <si>
    <t>เชือกฟาง</t>
  </si>
  <si>
    <t>บาท/ต้น</t>
  </si>
  <si>
    <t xml:space="preserve"> 1.3 ค่าใช้จ่ายเบ็ดเตล็ด</t>
  </si>
  <si>
    <t>ค่าใช้จ่ายอื่นๆ</t>
  </si>
  <si>
    <t>เบ็ดเตล็ด</t>
  </si>
  <si>
    <t>บาท/ฟาร์ม</t>
  </si>
  <si>
    <t xml:space="preserve"> 1.4 ค่าไฟฟ้าและพลังงาน</t>
  </si>
  <si>
    <t>อัตราดอกเบี้ย</t>
  </si>
  <si>
    <t>ระยะสั้น</t>
  </si>
  <si>
    <t>ระยะยาว</t>
  </si>
  <si>
    <t>ราย</t>
  </si>
  <si>
    <t>วันทำงานเฉลี่ย</t>
  </si>
  <si>
    <t>วันทำงาน/คน</t>
  </si>
  <si>
    <t>แรงงาน</t>
  </si>
  <si>
    <t xml:space="preserve">   -แรงงานประจำ+จ้าง</t>
  </si>
  <si>
    <t>ที่ดิน</t>
  </si>
  <si>
    <t>การปลูก</t>
  </si>
  <si>
    <t>ค่าเสื่อม/ปี/ฟาร์ม</t>
  </si>
  <si>
    <t>สัดส่วนที่ใช้ในฟาร์ม</t>
  </si>
  <si>
    <r>
      <t>ใส่ข้อมูลในช่อง</t>
    </r>
    <r>
      <rPr>
        <b/>
        <sz val="20"/>
        <color theme="9" tint="-0.499984740745262"/>
        <rFont val="TH SarabunPSK"/>
        <family val="2"/>
      </rPr>
      <t xml:space="preserve"> สีเขียว </t>
    </r>
  </si>
  <si>
    <t>บาท</t>
  </si>
  <si>
    <t>ปีที่1</t>
  </si>
  <si>
    <t>จำนวนแรงงาน</t>
  </si>
  <si>
    <t>เป็นเงินสด</t>
  </si>
  <si>
    <t>ไม่เป็นเงินสด</t>
  </si>
  <si>
    <t>ทุเรียนปีที่ 5</t>
  </si>
  <si>
    <t>ทุเรียนปีที่ 4</t>
  </si>
  <si>
    <t>ทุเรียนปีที่ 6</t>
  </si>
  <si>
    <t>ทุเรียนปีที่ 3</t>
  </si>
  <si>
    <t>ทุเรียนปีที่ 2</t>
  </si>
  <si>
    <t>ทุเรียนปีที่ 1</t>
  </si>
  <si>
    <t xml:space="preserve"> - ค่าต้นพันธุ์ทุเรียนหมอนทอง</t>
  </si>
  <si>
    <t>ค่าต้นพันธุ์ทุเรียนหมอนทอง</t>
  </si>
  <si>
    <t>จำนวนปลูก</t>
  </si>
  <si>
    <t>ค่าแรงงานปีที่1</t>
  </si>
  <si>
    <t>ค่าปุ๋ยบำรุงต้นและมูลสัตว์แห้ง</t>
  </si>
  <si>
    <t>ค่ายาปราบศัตรูพืชและสารเคมี</t>
  </si>
  <si>
    <t>ปีที่2-5</t>
  </si>
  <si>
    <t>ค่าใช้จ่ายปุ๋ยบำรุงต้น</t>
  </si>
  <si>
    <t>ค่ายาปรับศัตรูพืชและสารเคมี</t>
  </si>
  <si>
    <t xml:space="preserve">     ระยะปลูก (ต้น/ไร่)</t>
  </si>
  <si>
    <t xml:space="preserve">     ผลผลิตเฉลี่ย (ผล/ต้น)</t>
  </si>
  <si>
    <t xml:space="preserve">     น้ำหนักเฉลี่ย (กก./ผล)</t>
  </si>
  <si>
    <t xml:space="preserve">     ผลผลิตทั้งหมด (กก.)</t>
  </si>
  <si>
    <t xml:space="preserve">     ราคาขายเฉลี่ย (บาท/กก.)</t>
  </si>
  <si>
    <t>2.5 ต้นทุนการผลิตก่อนให้ผลผลิต (i=3%, n=10)</t>
  </si>
  <si>
    <t>กรณีศึกษาสวนทุเรียน</t>
  </si>
  <si>
    <t>ผลตอบแทน</t>
  </si>
  <si>
    <t xml:space="preserve">     รายได้ทั้งหมด</t>
  </si>
  <si>
    <t xml:space="preserve">     รายได้เหนือต้นทุนเงินสด</t>
  </si>
  <si>
    <t>บาท/ผล</t>
  </si>
  <si>
    <t xml:space="preserve">    พื้นที่ปลูก (ไร่/ฟาร์ม)</t>
  </si>
  <si>
    <t>รายการผลตอบแทนการผลิตทุเรียนปีที่6</t>
  </si>
  <si>
    <t>รายการโรงเรือนและอุปกรณ์สำหรับโครงการลงทุนสวนทุเรียน</t>
  </si>
  <si>
    <t>รวมรายได้ทั้งหมด (บาท/ฟาร์ม)</t>
  </si>
  <si>
    <t xml:space="preserve">     รายได้สุทธิ (รายได้เหนือต้นทุนผันแปร)</t>
  </si>
  <si>
    <t xml:space="preserve">     กำไรสุทธิ (รายได้เหนือต้นทุนทั้งหมด)</t>
  </si>
  <si>
    <t>ต้นทุนทั้งหมด (บาท/ไร่)</t>
  </si>
  <si>
    <t>ต้นทุนเฉลี่ย (บาท/กก.)</t>
  </si>
  <si>
    <t>CF i=3%</t>
  </si>
  <si>
    <t>ต้นทุนที่ปรับค่าให้เป็นสิ้นปีที่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</si>
</sst>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(* #,##0.00_);_(* \(#,##0.00\);_(* &quot;-&quot;??_);_(@_)"/>
    <numFmt numFmtId="165" formatCode="_-* #,##0_-;\-* #,##0_-;_-* &quot;-&quot;??_-;_-@_-"/>
    <numFmt numFmtId="166" formatCode="_-* #,##0.0_-;\-* #,##0.0_-;_-* &quot;-&quot;??_-;_-@_-"/>
    <numFmt numFmtId="167" formatCode="0.000%"/>
    <numFmt numFmtId="168" formatCode="_(* #,##0.0_);_(* \(#,##0.0\);_(* &quot;-&quot;??_);_(@_)"/>
    <numFmt numFmtId="169" formatCode="_-* #,##0.000_-;\-* #,##0.000_-;_-* &quot;-&quot;??_-;_-@_-"/>
  </numFmts>
  <fonts count="16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sz val="16"/>
      <color rgb="FF000000"/>
      <name val="TH SarabunPSK"/>
      <family val="2"/>
    </font>
    <font>
      <sz val="11"/>
      <color theme="1"/>
      <name val="Calibri"/>
      <family val="2"/>
      <charset val="222"/>
      <scheme val="minor"/>
    </font>
    <font>
      <b/>
      <sz val="16"/>
      <color theme="1"/>
      <name val="TH SarabunPSK"/>
      <family val="2"/>
    </font>
    <font>
      <sz val="16"/>
      <color theme="1"/>
      <name val="TH Sarabun New"/>
      <family val="2"/>
    </font>
    <font>
      <b/>
      <sz val="16"/>
      <color theme="0"/>
      <name val="TH SarabunPSK"/>
      <family val="2"/>
    </font>
    <font>
      <b/>
      <sz val="16"/>
      <color rgb="FFFF0000"/>
      <name val="TH SarabunPSK"/>
      <family val="2"/>
    </font>
    <font>
      <b/>
      <sz val="16"/>
      <color theme="1"/>
      <name val="TH Sarabun New"/>
      <family val="2"/>
    </font>
    <font>
      <b/>
      <sz val="16"/>
      <color theme="0"/>
      <name val="TH Sarabun New"/>
      <family val="2"/>
    </font>
    <font>
      <b/>
      <sz val="16"/>
      <color rgb="FFC00000"/>
      <name val="TH Sarabun New"/>
      <family val="2"/>
    </font>
    <font>
      <b/>
      <sz val="16"/>
      <color rgb="FF000000"/>
      <name val="TH SarabunPSK"/>
      <family val="2"/>
    </font>
    <font>
      <b/>
      <sz val="20"/>
      <color theme="9" tint="-0.499984740745262"/>
      <name val="TH SarabunPSK"/>
      <family val="2"/>
    </font>
    <font>
      <b/>
      <sz val="24"/>
      <color rgb="FFC00000"/>
      <name val="TH Sarabun New"/>
      <family val="2"/>
    </font>
    <font>
      <b/>
      <sz val="20"/>
      <color rgb="FFFF0000"/>
      <name val="TH SarabunPSK"/>
      <family val="2"/>
    </font>
    <font>
      <sz val="6"/>
      <name val="Yu Gothic"/>
      <family val="2"/>
      <charset val="128"/>
    </font>
  </fonts>
  <fills count="10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theme="1" tint="9.9978637043366805E-2"/>
      </left>
      <right/>
      <top style="thin">
        <color theme="1" tint="9.9978637043366805E-2"/>
      </top>
      <bottom style="thin">
        <color theme="1" tint="9.9978637043366805E-2"/>
      </bottom>
      <diagonal/>
    </border>
    <border>
      <left/>
      <right/>
      <top style="thin">
        <color theme="1" tint="9.9978637043366805E-2"/>
      </top>
      <bottom style="thin">
        <color theme="1" tint="9.9978637043366805E-2"/>
      </bottom>
      <diagonal/>
    </border>
    <border>
      <left/>
      <right style="thin">
        <color theme="1" tint="9.9978637043366805E-2"/>
      </right>
      <top style="thin">
        <color theme="1" tint="9.9978637043366805E-2"/>
      </top>
      <bottom style="thin">
        <color theme="1" tint="9.9978637043366805E-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theme="5" tint="-0.499984740745262"/>
      </right>
      <top/>
      <bottom style="thin">
        <color indexed="64"/>
      </bottom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thin">
        <color rgb="FF50505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07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wrapText="1"/>
    </xf>
    <xf numFmtId="3" fontId="2" fillId="0" borderId="4" xfId="0" applyNumberFormat="1" applyFont="1" applyBorder="1" applyAlignment="1">
      <alignment wrapText="1"/>
    </xf>
    <xf numFmtId="0" fontId="2" fillId="0" borderId="4" xfId="0" applyFont="1" applyBorder="1" applyAlignment="1">
      <alignment wrapText="1"/>
    </xf>
    <xf numFmtId="165" fontId="1" fillId="0" borderId="0" xfId="1" applyNumberFormat="1" applyFont="1"/>
    <xf numFmtId="0" fontId="1" fillId="0" borderId="1" xfId="0" applyFont="1" applyBorder="1"/>
    <xf numFmtId="0" fontId="5" fillId="0" borderId="0" xfId="0" applyFont="1"/>
    <xf numFmtId="0" fontId="5" fillId="0" borderId="0" xfId="0" applyFont="1" applyAlignment="1">
      <alignment horizontal="center"/>
    </xf>
    <xf numFmtId="165" fontId="1" fillId="0" borderId="1" xfId="1" applyNumberFormat="1" applyFont="1" applyBorder="1"/>
    <xf numFmtId="3" fontId="2" fillId="2" borderId="4" xfId="0" applyNumberFormat="1" applyFont="1" applyFill="1" applyBorder="1" applyAlignment="1">
      <alignment wrapText="1"/>
    </xf>
    <xf numFmtId="0" fontId="2" fillId="2" borderId="2" xfId="0" applyFont="1" applyFill="1" applyBorder="1" applyAlignment="1">
      <alignment horizontal="center" wrapText="1"/>
    </xf>
    <xf numFmtId="165" fontId="1" fillId="2" borderId="1" xfId="1" applyNumberFormat="1" applyFont="1" applyFill="1" applyBorder="1"/>
    <xf numFmtId="4" fontId="2" fillId="3" borderId="4" xfId="0" applyNumberFormat="1" applyFont="1" applyFill="1" applyBorder="1" applyAlignment="1">
      <alignment wrapText="1"/>
    </xf>
    <xf numFmtId="4" fontId="2" fillId="3" borderId="1" xfId="0" applyNumberFormat="1" applyFont="1" applyFill="1" applyBorder="1" applyAlignment="1">
      <alignment wrapText="1"/>
    </xf>
    <xf numFmtId="3" fontId="2" fillId="3" borderId="1" xfId="0" applyNumberFormat="1" applyFont="1" applyFill="1" applyBorder="1" applyAlignment="1">
      <alignment wrapText="1"/>
    </xf>
    <xf numFmtId="4" fontId="6" fillId="4" borderId="1" xfId="0" applyNumberFormat="1" applyFont="1" applyFill="1" applyBorder="1" applyAlignment="1">
      <alignment wrapText="1"/>
    </xf>
    <xf numFmtId="165" fontId="1" fillId="3" borderId="1" xfId="0" applyNumberFormat="1" applyFont="1" applyFill="1" applyBorder="1"/>
    <xf numFmtId="0" fontId="7" fillId="2" borderId="1" xfId="0" applyFont="1" applyFill="1" applyBorder="1" applyAlignment="1">
      <alignment horizontal="center"/>
    </xf>
    <xf numFmtId="3" fontId="2" fillId="2" borderId="4" xfId="0" applyNumberFormat="1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7" fillId="2" borderId="0" xfId="0" applyFont="1" applyFill="1" applyAlignment="1">
      <alignment horizontal="center"/>
    </xf>
    <xf numFmtId="43" fontId="1" fillId="0" borderId="0" xfId="1" applyFont="1"/>
    <xf numFmtId="43" fontId="6" fillId="4" borderId="0" xfId="1" applyFont="1" applyFill="1"/>
    <xf numFmtId="0" fontId="5" fillId="2" borderId="0" xfId="0" applyFont="1" applyFill="1" applyAlignment="1">
      <alignment horizontal="center"/>
    </xf>
    <xf numFmtId="0" fontId="5" fillId="0" borderId="0" xfId="0" applyFont="1" applyAlignment="1">
      <alignment horizontal="left"/>
    </xf>
    <xf numFmtId="165" fontId="5" fillId="2" borderId="0" xfId="1" applyNumberFormat="1" applyFont="1" applyFill="1" applyAlignment="1">
      <alignment horizontal="center"/>
    </xf>
    <xf numFmtId="0" fontId="8" fillId="0" borderId="0" xfId="0" applyFont="1"/>
    <xf numFmtId="0" fontId="5" fillId="2" borderId="0" xfId="0" applyFont="1" applyFill="1"/>
    <xf numFmtId="0" fontId="8" fillId="0" borderId="0" xfId="0" applyFont="1" applyAlignment="1">
      <alignment horizontal="left"/>
    </xf>
    <xf numFmtId="10" fontId="5" fillId="2" borderId="0" xfId="1" applyNumberFormat="1" applyFont="1" applyFill="1" applyAlignment="1">
      <alignment horizontal="center"/>
    </xf>
    <xf numFmtId="0" fontId="5" fillId="0" borderId="0" xfId="0" applyFont="1" applyAlignment="1">
      <alignment horizontal="right"/>
    </xf>
    <xf numFmtId="0" fontId="5" fillId="2" borderId="0" xfId="0" applyFont="1" applyFill="1" applyAlignment="1">
      <alignment horizontal="center" vertical="center"/>
    </xf>
    <xf numFmtId="167" fontId="5" fillId="2" borderId="0" xfId="0" applyNumberFormat="1" applyFont="1" applyFill="1" applyAlignment="1">
      <alignment horizontal="center"/>
    </xf>
    <xf numFmtId="10" fontId="5" fillId="2" borderId="0" xfId="0" applyNumberFormat="1" applyFont="1" applyFill="1" applyAlignment="1">
      <alignment horizontal="center"/>
    </xf>
    <xf numFmtId="0" fontId="8" fillId="0" borderId="3" xfId="0" applyFont="1" applyBorder="1" applyAlignment="1">
      <alignment wrapText="1"/>
    </xf>
    <xf numFmtId="0" fontId="5" fillId="0" borderId="3" xfId="0" applyFont="1" applyBorder="1" applyAlignment="1">
      <alignment wrapText="1"/>
    </xf>
    <xf numFmtId="0" fontId="10" fillId="0" borderId="0" xfId="0" applyFont="1"/>
    <xf numFmtId="0" fontId="8" fillId="3" borderId="0" xfId="0" applyFont="1" applyFill="1"/>
    <xf numFmtId="0" fontId="5" fillId="3" borderId="0" xfId="0" applyFont="1" applyFill="1"/>
    <xf numFmtId="0" fontId="8" fillId="3" borderId="0" xfId="0" applyFont="1" applyFill="1" applyAlignment="1">
      <alignment horizontal="left"/>
    </xf>
    <xf numFmtId="0" fontId="5" fillId="3" borderId="0" xfId="0" applyFont="1" applyFill="1" applyAlignment="1">
      <alignment horizontal="center"/>
    </xf>
    <xf numFmtId="166" fontId="8" fillId="0" borderId="4" xfId="1" applyNumberFormat="1" applyFont="1" applyBorder="1" applyAlignment="1">
      <alignment wrapText="1"/>
    </xf>
    <xf numFmtId="166" fontId="5" fillId="0" borderId="4" xfId="1" applyNumberFormat="1" applyFont="1" applyBorder="1" applyAlignment="1">
      <alignment wrapText="1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0" fontId="10" fillId="2" borderId="0" xfId="0" applyFont="1" applyFill="1" applyAlignment="1">
      <alignment horizontal="center"/>
    </xf>
    <xf numFmtId="0" fontId="8" fillId="5" borderId="3" xfId="0" applyFont="1" applyFill="1" applyBorder="1" applyAlignment="1">
      <alignment wrapText="1"/>
    </xf>
    <xf numFmtId="166" fontId="8" fillId="5" borderId="4" xfId="1" applyNumberFormat="1" applyFont="1" applyFill="1" applyBorder="1" applyAlignment="1">
      <alignment wrapText="1"/>
    </xf>
    <xf numFmtId="0" fontId="9" fillId="7" borderId="3" xfId="0" applyFont="1" applyFill="1" applyBorder="1" applyAlignment="1">
      <alignment horizontal="center" wrapText="1"/>
    </xf>
    <xf numFmtId="0" fontId="9" fillId="7" borderId="4" xfId="0" applyFont="1" applyFill="1" applyBorder="1" applyAlignment="1">
      <alignment horizontal="center" wrapText="1"/>
    </xf>
    <xf numFmtId="0" fontId="11" fillId="0" borderId="1" xfId="0" applyFont="1" applyBorder="1" applyAlignment="1">
      <alignment horizontal="center" wrapText="1"/>
    </xf>
    <xf numFmtId="0" fontId="11" fillId="0" borderId="2" xfId="0" applyFont="1" applyBorder="1" applyAlignment="1">
      <alignment horizontal="center" wrapText="1"/>
    </xf>
    <xf numFmtId="0" fontId="11" fillId="0" borderId="6" xfId="0" applyFont="1" applyBorder="1" applyAlignment="1">
      <alignment horizontal="center" wrapText="1"/>
    </xf>
    <xf numFmtId="0" fontId="11" fillId="0" borderId="5" xfId="0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0" fontId="12" fillId="0" borderId="0" xfId="0" applyFont="1"/>
    <xf numFmtId="0" fontId="13" fillId="0" borderId="0" xfId="0" applyFont="1"/>
    <xf numFmtId="0" fontId="14" fillId="0" borderId="0" xfId="0" applyFont="1"/>
    <xf numFmtId="9" fontId="2" fillId="2" borderId="2" xfId="0" applyNumberFormat="1" applyFont="1" applyFill="1" applyBorder="1" applyAlignment="1">
      <alignment horizontal="center" wrapText="1"/>
    </xf>
    <xf numFmtId="165" fontId="5" fillId="2" borderId="0" xfId="1" applyNumberFormat="1" applyFont="1" applyFill="1" applyAlignment="1"/>
    <xf numFmtId="0" fontId="9" fillId="7" borderId="8" xfId="0" applyFont="1" applyFill="1" applyBorder="1" applyAlignment="1">
      <alignment horizontal="center" wrapText="1"/>
    </xf>
    <xf numFmtId="164" fontId="8" fillId="0" borderId="4" xfId="0" applyNumberFormat="1" applyFont="1" applyBorder="1" applyAlignment="1">
      <alignment wrapText="1"/>
    </xf>
    <xf numFmtId="164" fontId="13" fillId="0" borderId="0" xfId="0" applyNumberFormat="1" applyFont="1"/>
    <xf numFmtId="164" fontId="5" fillId="0" borderId="0" xfId="0" applyNumberFormat="1" applyFont="1"/>
    <xf numFmtId="164" fontId="9" fillId="7" borderId="4" xfId="0" applyNumberFormat="1" applyFont="1" applyFill="1" applyBorder="1" applyAlignment="1">
      <alignment horizontal="center" wrapText="1"/>
    </xf>
    <xf numFmtId="164" fontId="5" fillId="0" borderId="4" xfId="0" applyNumberFormat="1" applyFont="1" applyBorder="1" applyAlignment="1">
      <alignment wrapText="1"/>
    </xf>
    <xf numFmtId="3" fontId="5" fillId="2" borderId="0" xfId="0" applyNumberFormat="1" applyFont="1" applyFill="1"/>
    <xf numFmtId="0" fontId="8" fillId="7" borderId="0" xfId="0" applyFont="1" applyFill="1" applyAlignment="1">
      <alignment wrapText="1"/>
    </xf>
    <xf numFmtId="166" fontId="8" fillId="7" borderId="0" xfId="1" applyNumberFormat="1" applyFont="1" applyFill="1" applyBorder="1" applyAlignment="1">
      <alignment wrapText="1"/>
    </xf>
    <xf numFmtId="164" fontId="8" fillId="6" borderId="15" xfId="0" applyNumberFormat="1" applyFont="1" applyFill="1" applyBorder="1" applyAlignment="1">
      <alignment horizontal="center" vertical="center" wrapText="1"/>
    </xf>
    <xf numFmtId="164" fontId="5" fillId="0" borderId="15" xfId="0" applyNumberFormat="1" applyFont="1" applyBorder="1" applyAlignment="1">
      <alignment horizontal="center" wrapText="1"/>
    </xf>
    <xf numFmtId="0" fontId="5" fillId="6" borderId="3" xfId="0" applyFont="1" applyFill="1" applyBorder="1" applyAlignment="1">
      <alignment horizontal="center" vertical="center" wrapText="1"/>
    </xf>
    <xf numFmtId="164" fontId="5" fillId="6" borderId="4" xfId="0" applyNumberFormat="1" applyFont="1" applyFill="1" applyBorder="1" applyAlignment="1">
      <alignment horizontal="center" vertical="center" wrapText="1"/>
    </xf>
    <xf numFmtId="164" fontId="5" fillId="8" borderId="15" xfId="0" applyNumberFormat="1" applyFont="1" applyFill="1" applyBorder="1" applyAlignment="1">
      <alignment horizontal="center" vertical="center" wrapText="1"/>
    </xf>
    <xf numFmtId="0" fontId="8" fillId="8" borderId="16" xfId="0" applyFont="1" applyFill="1" applyBorder="1" applyAlignment="1">
      <alignment wrapText="1"/>
    </xf>
    <xf numFmtId="166" fontId="8" fillId="8" borderId="16" xfId="1" applyNumberFormat="1" applyFont="1" applyFill="1" applyBorder="1" applyAlignment="1">
      <alignment wrapText="1"/>
    </xf>
    <xf numFmtId="0" fontId="8" fillId="6" borderId="17" xfId="0" applyFont="1" applyFill="1" applyBorder="1" applyAlignment="1">
      <alignment wrapText="1"/>
    </xf>
    <xf numFmtId="166" fontId="8" fillId="6" borderId="18" xfId="1" applyNumberFormat="1" applyFont="1" applyFill="1" applyBorder="1" applyAlignment="1">
      <alignment wrapText="1"/>
    </xf>
    <xf numFmtId="168" fontId="5" fillId="0" borderId="4" xfId="0" applyNumberFormat="1" applyFont="1" applyBorder="1" applyAlignment="1">
      <alignment wrapText="1"/>
    </xf>
    <xf numFmtId="168" fontId="8" fillId="0" borderId="4" xfId="0" applyNumberFormat="1" applyFont="1" applyBorder="1" applyAlignment="1">
      <alignment wrapText="1"/>
    </xf>
    <xf numFmtId="168" fontId="8" fillId="0" borderId="4" xfId="1" applyNumberFormat="1" applyFont="1" applyBorder="1" applyAlignment="1">
      <alignment wrapText="1"/>
    </xf>
    <xf numFmtId="168" fontId="5" fillId="0" borderId="4" xfId="1" applyNumberFormat="1" applyFont="1" applyBorder="1" applyAlignment="1">
      <alignment wrapText="1"/>
    </xf>
    <xf numFmtId="168" fontId="8" fillId="0" borderId="4" xfId="1" applyNumberFormat="1" applyFont="1" applyFill="1" applyBorder="1" applyAlignment="1">
      <alignment wrapText="1"/>
    </xf>
    <xf numFmtId="0" fontId="8" fillId="8" borderId="0" xfId="0" applyFont="1" applyFill="1" applyAlignment="1">
      <alignment wrapText="1"/>
    </xf>
    <xf numFmtId="166" fontId="8" fillId="8" borderId="0" xfId="1" applyNumberFormat="1" applyFont="1" applyFill="1" applyBorder="1" applyAlignment="1">
      <alignment wrapText="1"/>
    </xf>
    <xf numFmtId="169" fontId="8" fillId="8" borderId="0" xfId="1" applyNumberFormat="1" applyFont="1" applyFill="1" applyBorder="1" applyAlignment="1">
      <alignment wrapText="1"/>
    </xf>
    <xf numFmtId="166" fontId="8" fillId="0" borderId="0" xfId="1" applyNumberFormat="1" applyFont="1" applyFill="1" applyBorder="1" applyAlignment="1">
      <alignment wrapText="1"/>
    </xf>
    <xf numFmtId="0" fontId="8" fillId="9" borderId="0" xfId="0" applyFont="1" applyFill="1" applyAlignment="1">
      <alignment wrapText="1"/>
    </xf>
    <xf numFmtId="166" fontId="8" fillId="9" borderId="0" xfId="1" applyNumberFormat="1" applyFont="1" applyFill="1" applyBorder="1" applyAlignment="1">
      <alignment wrapText="1"/>
    </xf>
    <xf numFmtId="0" fontId="5" fillId="0" borderId="14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8" fillId="6" borderId="12" xfId="0" applyFont="1" applyFill="1" applyBorder="1" applyAlignment="1">
      <alignment horizontal="center" wrapText="1"/>
    </xf>
    <xf numFmtId="0" fontId="8" fillId="6" borderId="13" xfId="0" applyFont="1" applyFill="1" applyBorder="1" applyAlignment="1">
      <alignment horizontal="center" wrapText="1"/>
    </xf>
    <xf numFmtId="0" fontId="8" fillId="6" borderId="4" xfId="0" applyFont="1" applyFill="1" applyBorder="1" applyAlignment="1">
      <alignment horizontal="center" wrapText="1"/>
    </xf>
    <xf numFmtId="0" fontId="5" fillId="8" borderId="14" xfId="0" applyFont="1" applyFill="1" applyBorder="1" applyAlignment="1">
      <alignment horizontal="left" wrapText="1"/>
    </xf>
    <xf numFmtId="0" fontId="5" fillId="8" borderId="7" xfId="0" applyFont="1" applyFill="1" applyBorder="1" applyAlignment="1">
      <alignment horizontal="left" wrapText="1"/>
    </xf>
    <xf numFmtId="0" fontId="5" fillId="8" borderId="2" xfId="0" applyFont="1" applyFill="1" applyBorder="1" applyAlignment="1">
      <alignment horizontal="left" wrapText="1"/>
    </xf>
    <xf numFmtId="164" fontId="9" fillId="7" borderId="9" xfId="0" applyNumberFormat="1" applyFont="1" applyFill="1" applyBorder="1" applyAlignment="1">
      <alignment horizontal="center" wrapText="1"/>
    </xf>
    <xf numFmtId="164" fontId="9" fillId="7" borderId="10" xfId="0" applyNumberFormat="1" applyFont="1" applyFill="1" applyBorder="1" applyAlignment="1">
      <alignment horizontal="center" wrapText="1"/>
    </xf>
    <xf numFmtId="164" fontId="9" fillId="7" borderId="11" xfId="0" applyNumberFormat="1" applyFont="1" applyFill="1" applyBorder="1" applyAlignment="1">
      <alignment horizontal="center" wrapText="1"/>
    </xf>
    <xf numFmtId="0" fontId="9" fillId="7" borderId="7" xfId="0" applyFont="1" applyFill="1" applyBorder="1" applyAlignment="1">
      <alignment horizontal="center" wrapText="1"/>
    </xf>
    <xf numFmtId="0" fontId="9" fillId="7" borderId="2" xfId="0" applyFont="1" applyFill="1" applyBorder="1" applyAlignment="1">
      <alignment horizont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622300</xdr:colOff>
          <xdr:row>27</xdr:row>
          <xdr:rowOff>133350</xdr:rowOff>
        </xdr:from>
        <xdr:to>
          <xdr:col>11</xdr:col>
          <xdr:colOff>463550</xdr:colOff>
          <xdr:row>37</xdr:row>
          <xdr:rowOff>171450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1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Excel_Worksheet.xlsx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D37903-9309-174F-99CF-A5300219B81A}">
  <sheetPr>
    <tabColor rgb="FFC00000"/>
  </sheetPr>
  <dimension ref="A1:O29"/>
  <sheetViews>
    <sheetView topLeftCell="B4" zoomScale="140" zoomScaleNormal="140" workbookViewId="0">
      <selection activeCell="J14" sqref="J14"/>
    </sheetView>
  </sheetViews>
  <sheetFormatPr defaultColWidth="8.90625" defaultRowHeight="24"/>
  <cols>
    <col min="1" max="1" width="23.36328125" style="1" customWidth="1"/>
    <col min="2" max="2" width="9.81640625" style="1" bestFit="1" customWidth="1"/>
    <col min="3" max="3" width="9.81640625" style="1" customWidth="1"/>
    <col min="4" max="4" width="12.6328125" style="1" customWidth="1"/>
    <col min="5" max="5" width="11.36328125" style="1" bestFit="1" customWidth="1"/>
    <col min="6" max="6" width="10.08984375" style="1" bestFit="1" customWidth="1"/>
    <col min="7" max="7" width="11.6328125" style="1" customWidth="1"/>
    <col min="8" max="8" width="9.81640625" style="1" customWidth="1"/>
    <col min="9" max="9" width="14.08984375" style="1" customWidth="1"/>
    <col min="10" max="10" width="14.81640625" style="1" customWidth="1"/>
    <col min="11" max="11" width="18.6328125" style="1" customWidth="1"/>
    <col min="12" max="12" width="13.08984375" style="1" customWidth="1"/>
    <col min="13" max="13" width="12.08984375" style="1" customWidth="1"/>
    <col min="14" max="14" width="14.6328125" style="1" customWidth="1"/>
    <col min="15" max="15" width="13.6328125" style="1" customWidth="1"/>
  </cols>
  <sheetData>
    <row r="1" spans="1:15" ht="30">
      <c r="A1" s="59" t="s">
        <v>153</v>
      </c>
    </row>
    <row r="2" spans="1:15" ht="30">
      <c r="A2" s="61" t="s">
        <v>119</v>
      </c>
    </row>
    <row r="3" spans="1:15">
      <c r="A3" s="1" t="s">
        <v>60</v>
      </c>
      <c r="B3" s="23">
        <v>6</v>
      </c>
      <c r="C3" s="1" t="s">
        <v>61</v>
      </c>
    </row>
    <row r="5" spans="1:15" s="2" customFormat="1" ht="72">
      <c r="A5" s="53" t="s">
        <v>0</v>
      </c>
      <c r="B5" s="54" t="s">
        <v>1</v>
      </c>
      <c r="C5" s="54" t="s">
        <v>30</v>
      </c>
      <c r="D5" s="54" t="s">
        <v>31</v>
      </c>
      <c r="E5" s="54" t="s">
        <v>2</v>
      </c>
      <c r="F5" s="54" t="s">
        <v>3</v>
      </c>
      <c r="G5" s="54" t="s">
        <v>4</v>
      </c>
      <c r="H5" s="54" t="s">
        <v>118</v>
      </c>
      <c r="I5" s="53" t="s">
        <v>117</v>
      </c>
      <c r="J5" s="55" t="s">
        <v>10</v>
      </c>
      <c r="K5" s="55" t="s">
        <v>11</v>
      </c>
      <c r="L5" s="56" t="s">
        <v>45</v>
      </c>
      <c r="M5" s="57" t="s">
        <v>28</v>
      </c>
      <c r="N5" s="57" t="s">
        <v>46</v>
      </c>
      <c r="O5" s="58" t="s">
        <v>59</v>
      </c>
    </row>
    <row r="6" spans="1:15">
      <c r="A6" s="4" t="s">
        <v>40</v>
      </c>
      <c r="B6" s="12">
        <v>30000</v>
      </c>
      <c r="C6" s="21">
        <v>1</v>
      </c>
      <c r="D6" s="21">
        <f t="shared" ref="D6:D14" si="0">B6*C6</f>
        <v>30000</v>
      </c>
      <c r="E6" s="22">
        <v>15</v>
      </c>
      <c r="F6" s="12">
        <f>B6*5%</f>
        <v>1500</v>
      </c>
      <c r="G6" s="15">
        <f>(D6-F6*C6)/E6</f>
        <v>1900</v>
      </c>
      <c r="H6" s="13">
        <v>1</v>
      </c>
      <c r="I6" s="16">
        <f>G6*H6</f>
        <v>1900</v>
      </c>
      <c r="J6" s="15">
        <f t="shared" ref="J6:J9" si="1">(B6+F6)/2</f>
        <v>15750</v>
      </c>
      <c r="K6" s="15">
        <f t="shared" ref="K6:K14" si="2">J6*$K$16%</f>
        <v>1023.75</v>
      </c>
      <c r="L6" s="17">
        <f>K6*H6</f>
        <v>1023.75</v>
      </c>
      <c r="M6" s="14"/>
      <c r="N6" s="19">
        <f>H6*M6</f>
        <v>0</v>
      </c>
      <c r="O6" s="24">
        <f>D6-(G6*$B$3)</f>
        <v>18600</v>
      </c>
    </row>
    <row r="7" spans="1:15">
      <c r="A7" s="4" t="s">
        <v>5</v>
      </c>
      <c r="B7" s="12">
        <v>250000</v>
      </c>
      <c r="C7" s="21">
        <v>1</v>
      </c>
      <c r="D7" s="21">
        <f t="shared" si="0"/>
        <v>250000</v>
      </c>
      <c r="E7" s="22">
        <v>10</v>
      </c>
      <c r="F7" s="12">
        <v>0</v>
      </c>
      <c r="G7" s="15">
        <f t="shared" ref="G7:G9" si="3">(D7-F7*C7)/E7</f>
        <v>25000</v>
      </c>
      <c r="H7" s="13">
        <v>1</v>
      </c>
      <c r="I7" s="16">
        <f t="shared" ref="I7:I9" si="4">G7*H7</f>
        <v>25000</v>
      </c>
      <c r="J7" s="15">
        <f t="shared" si="1"/>
        <v>125000</v>
      </c>
      <c r="K7" s="15">
        <f t="shared" si="2"/>
        <v>8125</v>
      </c>
      <c r="L7" s="17">
        <f t="shared" ref="L7:L9" si="5">K7*H7</f>
        <v>8125</v>
      </c>
      <c r="M7" s="14"/>
      <c r="N7" s="19">
        <f t="shared" ref="N7:N8" si="6">H7*M7</f>
        <v>0</v>
      </c>
      <c r="O7" s="24"/>
    </row>
    <row r="8" spans="1:15">
      <c r="A8" s="4" t="s">
        <v>41</v>
      </c>
      <c r="B8" s="12">
        <v>9000</v>
      </c>
      <c r="C8" s="21">
        <v>30</v>
      </c>
      <c r="D8" s="21">
        <f t="shared" si="0"/>
        <v>270000</v>
      </c>
      <c r="E8" s="22">
        <v>10</v>
      </c>
      <c r="F8" s="12">
        <v>2000</v>
      </c>
      <c r="G8" s="15">
        <f t="shared" si="3"/>
        <v>21000</v>
      </c>
      <c r="H8" s="13">
        <v>1</v>
      </c>
      <c r="I8" s="16">
        <f t="shared" si="4"/>
        <v>21000</v>
      </c>
      <c r="J8" s="15">
        <f t="shared" si="1"/>
        <v>5500</v>
      </c>
      <c r="K8" s="15">
        <f t="shared" si="2"/>
        <v>357.5</v>
      </c>
      <c r="L8" s="17">
        <f t="shared" si="5"/>
        <v>357.5</v>
      </c>
      <c r="M8" s="14">
        <v>8000</v>
      </c>
      <c r="N8" s="19">
        <f t="shared" si="6"/>
        <v>8000</v>
      </c>
      <c r="O8" s="24">
        <f>F8</f>
        <v>2000</v>
      </c>
    </row>
    <row r="9" spans="1:15">
      <c r="A9" s="4" t="s">
        <v>42</v>
      </c>
      <c r="B9" s="12">
        <v>200000</v>
      </c>
      <c r="C9" s="21">
        <v>1</v>
      </c>
      <c r="D9" s="21">
        <f t="shared" si="0"/>
        <v>200000</v>
      </c>
      <c r="E9" s="22">
        <v>10</v>
      </c>
      <c r="F9" s="12">
        <f>B9*10%</f>
        <v>20000</v>
      </c>
      <c r="G9" s="15">
        <f t="shared" si="3"/>
        <v>18000</v>
      </c>
      <c r="H9" s="13">
        <v>1</v>
      </c>
      <c r="I9" s="16">
        <f t="shared" si="4"/>
        <v>18000</v>
      </c>
      <c r="J9" s="15">
        <f t="shared" si="1"/>
        <v>110000</v>
      </c>
      <c r="K9" s="15">
        <f t="shared" si="2"/>
        <v>7150</v>
      </c>
      <c r="L9" s="17">
        <f t="shared" si="5"/>
        <v>7150</v>
      </c>
      <c r="M9" s="14">
        <v>9000</v>
      </c>
      <c r="N9" s="19">
        <f t="shared" ref="N9" si="7">M9*H9</f>
        <v>9000</v>
      </c>
      <c r="O9" s="24">
        <f t="shared" ref="O9" si="8">F9</f>
        <v>20000</v>
      </c>
    </row>
    <row r="10" spans="1:15">
      <c r="A10" s="4" t="s">
        <v>8</v>
      </c>
      <c r="B10" s="12">
        <v>350000</v>
      </c>
      <c r="C10" s="21">
        <v>1</v>
      </c>
      <c r="D10" s="21">
        <f t="shared" si="0"/>
        <v>350000</v>
      </c>
      <c r="E10" s="22">
        <v>10</v>
      </c>
      <c r="F10" s="12">
        <v>5000</v>
      </c>
      <c r="G10" s="15">
        <f>(D10-F10*C10)/E10</f>
        <v>34500</v>
      </c>
      <c r="H10" s="62">
        <v>1</v>
      </c>
      <c r="I10" s="16">
        <f>G10*H10</f>
        <v>34500</v>
      </c>
      <c r="J10" s="15">
        <f>(B10+F10)/2</f>
        <v>177500</v>
      </c>
      <c r="K10" s="15">
        <f t="shared" si="2"/>
        <v>11537.5</v>
      </c>
      <c r="L10" s="17">
        <f>K10*H10</f>
        <v>11537.5</v>
      </c>
      <c r="M10" s="14">
        <v>2000</v>
      </c>
      <c r="N10" s="19">
        <f>M10*H10</f>
        <v>2000</v>
      </c>
      <c r="O10" s="24">
        <f>F10</f>
        <v>5000</v>
      </c>
    </row>
    <row r="11" spans="1:15">
      <c r="A11" s="4" t="s">
        <v>6</v>
      </c>
      <c r="B11" s="12">
        <v>900000</v>
      </c>
      <c r="C11" s="21">
        <v>1</v>
      </c>
      <c r="D11" s="21">
        <f t="shared" si="0"/>
        <v>900000</v>
      </c>
      <c r="E11" s="22">
        <v>15</v>
      </c>
      <c r="F11" s="12">
        <v>70000</v>
      </c>
      <c r="G11" s="15">
        <f>(D11-F11*C11)/E11</f>
        <v>55333.333333333336</v>
      </c>
      <c r="H11" s="62">
        <v>0.2</v>
      </c>
      <c r="I11" s="16">
        <f>G11*H11</f>
        <v>11066.666666666668</v>
      </c>
      <c r="J11" s="15">
        <f>(B11+F11)/2</f>
        <v>485000</v>
      </c>
      <c r="K11" s="15">
        <f t="shared" si="2"/>
        <v>31525</v>
      </c>
      <c r="L11" s="17">
        <f>K11*H11</f>
        <v>6305</v>
      </c>
      <c r="M11" s="14">
        <v>30000</v>
      </c>
      <c r="N11" s="19">
        <f>M11*H11</f>
        <v>6000</v>
      </c>
      <c r="O11" s="24">
        <f>D11-(G11*$B$3)</f>
        <v>568000</v>
      </c>
    </row>
    <row r="12" spans="1:15">
      <c r="A12" s="4" t="s">
        <v>7</v>
      </c>
      <c r="B12" s="12">
        <v>50000</v>
      </c>
      <c r="C12" s="21">
        <v>1</v>
      </c>
      <c r="D12" s="21">
        <f t="shared" si="0"/>
        <v>50000</v>
      </c>
      <c r="E12" s="22">
        <v>10</v>
      </c>
      <c r="F12" s="12">
        <v>10000</v>
      </c>
      <c r="G12" s="15">
        <f>(D12-F12*C12)/E12</f>
        <v>4000</v>
      </c>
      <c r="H12" s="62">
        <v>0.5</v>
      </c>
      <c r="I12" s="16">
        <f>G12*H12</f>
        <v>2000</v>
      </c>
      <c r="J12" s="15">
        <f>(B12+F12)/2</f>
        <v>30000</v>
      </c>
      <c r="K12" s="15">
        <f t="shared" si="2"/>
        <v>1950</v>
      </c>
      <c r="L12" s="17">
        <f>K12*H12</f>
        <v>975</v>
      </c>
      <c r="M12" s="14">
        <v>1000</v>
      </c>
      <c r="N12" s="19">
        <f>M12*H12</f>
        <v>500</v>
      </c>
      <c r="O12" s="24">
        <f>F12</f>
        <v>10000</v>
      </c>
    </row>
    <row r="13" spans="1:15">
      <c r="A13" s="4" t="s">
        <v>43</v>
      </c>
      <c r="B13" s="12">
        <v>300</v>
      </c>
      <c r="C13" s="21">
        <v>3</v>
      </c>
      <c r="D13" s="21">
        <f t="shared" si="0"/>
        <v>900</v>
      </c>
      <c r="E13" s="22">
        <v>5</v>
      </c>
      <c r="F13" s="12">
        <v>0</v>
      </c>
      <c r="G13" s="15">
        <f>(D13-F13*C13)/E13</f>
        <v>180</v>
      </c>
      <c r="H13" s="13">
        <v>1</v>
      </c>
      <c r="I13" s="16">
        <f>G13*H13</f>
        <v>180</v>
      </c>
      <c r="J13" s="15">
        <f>(B13+F13)/2</f>
        <v>150</v>
      </c>
      <c r="K13" s="15">
        <f t="shared" si="2"/>
        <v>9.75</v>
      </c>
      <c r="L13" s="17">
        <f>K13*H13</f>
        <v>9.75</v>
      </c>
      <c r="M13" s="14"/>
      <c r="N13" s="19">
        <f>M13*H13</f>
        <v>0</v>
      </c>
      <c r="O13" s="24">
        <f>F13</f>
        <v>0</v>
      </c>
    </row>
    <row r="14" spans="1:15">
      <c r="A14" s="4" t="s">
        <v>44</v>
      </c>
      <c r="B14" s="12">
        <v>180</v>
      </c>
      <c r="C14" s="21">
        <v>2</v>
      </c>
      <c r="D14" s="21">
        <f t="shared" si="0"/>
        <v>360</v>
      </c>
      <c r="E14" s="22">
        <v>2</v>
      </c>
      <c r="F14" s="12">
        <v>0</v>
      </c>
      <c r="G14" s="15">
        <f>(D14-F14*C14)/E14</f>
        <v>180</v>
      </c>
      <c r="H14" s="13">
        <v>1</v>
      </c>
      <c r="I14" s="16">
        <f>G14*H14</f>
        <v>180</v>
      </c>
      <c r="J14" s="15">
        <f>(B14+F14)/2</f>
        <v>90</v>
      </c>
      <c r="K14" s="15">
        <f t="shared" si="2"/>
        <v>5.8500000000000005</v>
      </c>
      <c r="L14" s="17">
        <f>K14*H14</f>
        <v>5.8500000000000005</v>
      </c>
      <c r="M14" s="14"/>
      <c r="N14" s="19">
        <f>M14*H14</f>
        <v>0</v>
      </c>
      <c r="O14" s="24">
        <f>F14</f>
        <v>0</v>
      </c>
    </row>
    <row r="15" spans="1:15">
      <c r="A15" s="4" t="s">
        <v>9</v>
      </c>
      <c r="B15" s="6" t="s">
        <v>0</v>
      </c>
      <c r="C15" s="6"/>
      <c r="D15" s="5">
        <f>SUM(D6:D14)</f>
        <v>2051260</v>
      </c>
      <c r="E15" s="6" t="s">
        <v>0</v>
      </c>
      <c r="F15" s="6" t="s">
        <v>0</v>
      </c>
      <c r="G15" s="6" t="s">
        <v>0</v>
      </c>
      <c r="H15" s="3" t="s">
        <v>0</v>
      </c>
      <c r="I15" s="18">
        <f>SUM(I6:I14)</f>
        <v>113826.66666666667</v>
      </c>
      <c r="J15" s="6" t="s">
        <v>0</v>
      </c>
      <c r="K15" s="6" t="s">
        <v>0</v>
      </c>
      <c r="L15" s="18">
        <f>SUM(L6:L14)</f>
        <v>35489.35</v>
      </c>
      <c r="M15" s="11"/>
      <c r="N15" s="18">
        <f>SUM(N6:N14)</f>
        <v>25500</v>
      </c>
      <c r="O15" s="25">
        <f>SUM(O6:O14)</f>
        <v>623600</v>
      </c>
    </row>
    <row r="16" spans="1:15">
      <c r="A16" s="8"/>
      <c r="B16" s="8"/>
      <c r="C16" s="8"/>
      <c r="D16" s="8"/>
      <c r="E16" s="8"/>
      <c r="F16" s="8"/>
      <c r="G16" s="8"/>
      <c r="J16" s="8" t="s">
        <v>107</v>
      </c>
      <c r="K16" s="20">
        <v>6.5</v>
      </c>
      <c r="L16" s="8" t="s">
        <v>32</v>
      </c>
    </row>
    <row r="17" spans="2:11">
      <c r="K17" s="23"/>
    </row>
    <row r="18" spans="2:11">
      <c r="C18" s="1" t="s">
        <v>47</v>
      </c>
    </row>
    <row r="19" spans="2:11">
      <c r="B19" s="1" t="s">
        <v>50</v>
      </c>
      <c r="C19" s="7">
        <f>SUM(D6:D14)</f>
        <v>2051260</v>
      </c>
    </row>
    <row r="20" spans="2:11">
      <c r="B20" s="1" t="s">
        <v>48</v>
      </c>
      <c r="C20" s="7">
        <v>0</v>
      </c>
    </row>
    <row r="21" spans="2:11">
      <c r="B21" s="1" t="s">
        <v>49</v>
      </c>
      <c r="C21" s="7">
        <v>0</v>
      </c>
    </row>
    <row r="22" spans="2:11">
      <c r="B22" s="1" t="s">
        <v>51</v>
      </c>
      <c r="C22" s="7">
        <f>SUMIF(E$6:E$14,2,D$6:D$14)</f>
        <v>360</v>
      </c>
    </row>
    <row r="23" spans="2:11">
      <c r="B23" s="1" t="s">
        <v>52</v>
      </c>
      <c r="C23" s="7">
        <v>0</v>
      </c>
    </row>
    <row r="24" spans="2:11">
      <c r="B24" s="1" t="s">
        <v>53</v>
      </c>
      <c r="C24" s="7">
        <f>SUMIF(E$6:E$14,2,D$6:D$14)+SUMIF(E$6:E$14,5,D$6:D$14)</f>
        <v>1260</v>
      </c>
    </row>
    <row r="25" spans="2:11">
      <c r="B25" s="1" t="s">
        <v>54</v>
      </c>
      <c r="C25" s="7"/>
    </row>
    <row r="26" spans="2:11">
      <c r="B26" s="1" t="s">
        <v>55</v>
      </c>
      <c r="C26" s="7">
        <f>SUMIF(E$6:E$14,2,D$6:D$14)</f>
        <v>360</v>
      </c>
    </row>
    <row r="27" spans="2:11">
      <c r="B27" s="1" t="s">
        <v>56</v>
      </c>
      <c r="C27" s="7"/>
    </row>
    <row r="28" spans="2:11">
      <c r="B28" s="1" t="s">
        <v>57</v>
      </c>
      <c r="C28" s="7">
        <f>SUMIF(E$6:E$14,2,D$6:D$14)</f>
        <v>360</v>
      </c>
    </row>
    <row r="29" spans="2:11">
      <c r="B29" s="1" t="s">
        <v>58</v>
      </c>
      <c r="D29" s="7"/>
    </row>
  </sheetData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A049C1-58CB-4AC2-97C9-ECC00745113E}">
  <sheetPr>
    <tabColor rgb="FFC00000"/>
  </sheetPr>
  <dimension ref="A1:AJ40"/>
  <sheetViews>
    <sheetView tabSelected="1" zoomScale="80" zoomScaleNormal="80" workbookViewId="0">
      <pane xSplit="1" topLeftCell="J1" activePane="topRight" state="frozen"/>
      <selection pane="topRight" activeCell="B1" sqref="B1"/>
    </sheetView>
  </sheetViews>
  <sheetFormatPr defaultColWidth="8.90625" defaultRowHeight="24"/>
  <cols>
    <col min="1" max="1" width="38.08984375" style="9" customWidth="1"/>
    <col min="2" max="2" width="14.7265625" style="67" customWidth="1"/>
    <col min="3" max="3" width="12.6328125" style="67" customWidth="1"/>
    <col min="4" max="4" width="13.36328125" style="67" customWidth="1"/>
    <col min="5" max="5" width="13.90625" style="67" customWidth="1"/>
    <col min="6" max="16" width="13.36328125" style="67" customWidth="1"/>
    <col min="17" max="17" width="13.6328125" style="9" bestFit="1" customWidth="1"/>
    <col min="18" max="18" width="13.81640625" style="9" bestFit="1" customWidth="1"/>
    <col min="19" max="19" width="14" style="9" bestFit="1" customWidth="1"/>
    <col min="20" max="20" width="8.90625" style="9"/>
    <col min="21" max="21" width="15.453125" style="9" customWidth="1"/>
    <col min="22" max="23" width="13.08984375" style="9" customWidth="1"/>
    <col min="24" max="24" width="4.90625" style="9" customWidth="1"/>
    <col min="25" max="26" width="13.08984375" style="9" customWidth="1"/>
    <col min="27" max="29" width="8.90625" style="9"/>
    <col min="30" max="30" width="22.7265625" style="9" customWidth="1"/>
    <col min="31" max="33" width="8.90625" style="9"/>
    <col min="34" max="34" width="21.6328125" style="9" customWidth="1"/>
    <col min="35" max="16384" width="8.90625" style="9"/>
  </cols>
  <sheetData>
    <row r="1" spans="1:36" ht="35.5">
      <c r="A1" s="60" t="s">
        <v>146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</row>
    <row r="2" spans="1:36">
      <c r="U2" s="40" t="s">
        <v>116</v>
      </c>
      <c r="V2" s="41"/>
      <c r="W2" s="41"/>
      <c r="Y2" s="40" t="s">
        <v>115</v>
      </c>
      <c r="Z2" s="41"/>
      <c r="AA2" s="41"/>
      <c r="AD2" s="41" t="s">
        <v>121</v>
      </c>
      <c r="AE2" s="41"/>
      <c r="AF2" s="41"/>
      <c r="AH2" s="41" t="s">
        <v>137</v>
      </c>
      <c r="AI2" s="41"/>
      <c r="AJ2" s="41"/>
    </row>
    <row r="3" spans="1:36">
      <c r="A3" s="64" t="s">
        <v>12</v>
      </c>
      <c r="B3" s="102" t="s">
        <v>130</v>
      </c>
      <c r="C3" s="103"/>
      <c r="D3" s="104"/>
      <c r="E3" s="103" t="s">
        <v>129</v>
      </c>
      <c r="F3" s="103"/>
      <c r="G3" s="104"/>
      <c r="H3" s="103" t="s">
        <v>128</v>
      </c>
      <c r="I3" s="103"/>
      <c r="J3" s="104"/>
      <c r="K3" s="103" t="s">
        <v>126</v>
      </c>
      <c r="L3" s="103"/>
      <c r="M3" s="104"/>
      <c r="N3" s="103" t="s">
        <v>125</v>
      </c>
      <c r="O3" s="103"/>
      <c r="P3" s="104"/>
      <c r="Q3" s="105" t="s">
        <v>127</v>
      </c>
      <c r="R3" s="105"/>
      <c r="S3" s="106"/>
      <c r="U3" s="9" t="s">
        <v>88</v>
      </c>
      <c r="V3" s="34">
        <v>30</v>
      </c>
      <c r="W3" s="9" t="s">
        <v>33</v>
      </c>
      <c r="Y3" s="9" t="s">
        <v>95</v>
      </c>
      <c r="Z3" s="28">
        <v>100000</v>
      </c>
      <c r="AA3" s="9" t="s">
        <v>34</v>
      </c>
      <c r="AB3" s="10"/>
      <c r="AD3" s="41" t="s">
        <v>116</v>
      </c>
      <c r="AE3" s="41"/>
      <c r="AF3" s="41"/>
      <c r="AH3" s="41" t="s">
        <v>99</v>
      </c>
      <c r="AI3" s="41"/>
      <c r="AJ3" s="41"/>
    </row>
    <row r="4" spans="1:36">
      <c r="A4" s="51" t="s">
        <v>0</v>
      </c>
      <c r="B4" s="68" t="s">
        <v>123</v>
      </c>
      <c r="C4" s="68" t="s">
        <v>124</v>
      </c>
      <c r="D4" s="68" t="s">
        <v>65</v>
      </c>
      <c r="E4" s="68" t="s">
        <v>123</v>
      </c>
      <c r="F4" s="68" t="s">
        <v>124</v>
      </c>
      <c r="G4" s="68" t="s">
        <v>65</v>
      </c>
      <c r="H4" s="68" t="s">
        <v>123</v>
      </c>
      <c r="I4" s="68" t="s">
        <v>124</v>
      </c>
      <c r="J4" s="68" t="s">
        <v>65</v>
      </c>
      <c r="K4" s="68" t="s">
        <v>123</v>
      </c>
      <c r="L4" s="68" t="s">
        <v>124</v>
      </c>
      <c r="M4" s="68" t="s">
        <v>65</v>
      </c>
      <c r="N4" s="68" t="s">
        <v>123</v>
      </c>
      <c r="O4" s="68" t="s">
        <v>124</v>
      </c>
      <c r="P4" s="68" t="s">
        <v>65</v>
      </c>
      <c r="Q4" s="52" t="s">
        <v>13</v>
      </c>
      <c r="R4" s="52" t="s">
        <v>14</v>
      </c>
      <c r="S4" s="52" t="s">
        <v>15</v>
      </c>
      <c r="U4" s="9" t="s">
        <v>63</v>
      </c>
      <c r="V4" s="34">
        <v>20</v>
      </c>
      <c r="W4" s="27" t="s">
        <v>64</v>
      </c>
      <c r="Y4" s="9" t="s">
        <v>96</v>
      </c>
      <c r="Z4" s="26">
        <v>3000</v>
      </c>
      <c r="AA4" s="9" t="s">
        <v>74</v>
      </c>
      <c r="AB4" s="10"/>
      <c r="AD4" s="9" t="s">
        <v>132</v>
      </c>
      <c r="AE4" s="30">
        <v>80</v>
      </c>
      <c r="AF4" s="9" t="s">
        <v>101</v>
      </c>
      <c r="AH4" s="9" t="s">
        <v>138</v>
      </c>
      <c r="AI4" s="70">
        <v>1200</v>
      </c>
      <c r="AJ4" s="9" t="s">
        <v>34</v>
      </c>
    </row>
    <row r="5" spans="1:36">
      <c r="A5" s="49" t="s">
        <v>16</v>
      </c>
      <c r="B5" s="50">
        <f>SUM(B8:B17)</f>
        <v>299500</v>
      </c>
      <c r="C5" s="50">
        <f t="shared" ref="C5:P5" si="0">SUM(C8:C17)</f>
        <v>202246.25</v>
      </c>
      <c r="D5" s="50">
        <f t="shared" si="0"/>
        <v>501746.25</v>
      </c>
      <c r="E5" s="50">
        <f t="shared" si="0"/>
        <v>216500</v>
      </c>
      <c r="F5" s="50">
        <f t="shared" si="0"/>
        <v>201623.75</v>
      </c>
      <c r="G5" s="50">
        <f t="shared" si="0"/>
        <v>418123.75</v>
      </c>
      <c r="H5" s="50">
        <f t="shared" si="0"/>
        <v>216500</v>
      </c>
      <c r="I5" s="50">
        <f t="shared" si="0"/>
        <v>201623.75</v>
      </c>
      <c r="J5" s="50">
        <f t="shared" si="0"/>
        <v>418123.75</v>
      </c>
      <c r="K5" s="50">
        <f t="shared" si="0"/>
        <v>216500</v>
      </c>
      <c r="L5" s="50">
        <f t="shared" si="0"/>
        <v>201623.75</v>
      </c>
      <c r="M5" s="50">
        <f t="shared" si="0"/>
        <v>418123.75</v>
      </c>
      <c r="N5" s="50">
        <f t="shared" si="0"/>
        <v>216500</v>
      </c>
      <c r="O5" s="50">
        <f t="shared" si="0"/>
        <v>201623.75</v>
      </c>
      <c r="P5" s="50">
        <f t="shared" si="0"/>
        <v>418123.75</v>
      </c>
      <c r="Q5" s="50">
        <f>SUM(Q8:Q17)</f>
        <v>515500</v>
      </c>
      <c r="R5" s="50">
        <f>SUM(R8:R17)</f>
        <v>203866.25</v>
      </c>
      <c r="S5" s="50">
        <f>Q5+R5</f>
        <v>719366.25</v>
      </c>
      <c r="U5" s="39" t="s">
        <v>65</v>
      </c>
      <c r="V5" s="46">
        <f>V3*V4</f>
        <v>600</v>
      </c>
      <c r="W5" s="47" t="s">
        <v>66</v>
      </c>
      <c r="X5" s="27"/>
      <c r="Z5" s="10"/>
      <c r="AD5" s="9" t="s">
        <v>133</v>
      </c>
      <c r="AE5" s="30">
        <v>20</v>
      </c>
      <c r="AF5" s="9" t="s">
        <v>64</v>
      </c>
      <c r="AH5" s="9" t="s">
        <v>139</v>
      </c>
      <c r="AI5" s="70">
        <v>3500</v>
      </c>
      <c r="AJ5" s="9" t="s">
        <v>34</v>
      </c>
    </row>
    <row r="6" spans="1:36">
      <c r="A6" s="37" t="s">
        <v>17</v>
      </c>
      <c r="B6" s="65"/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44" t="s">
        <v>0</v>
      </c>
      <c r="R6" s="44" t="s">
        <v>0</v>
      </c>
      <c r="S6" s="44" t="s">
        <v>29</v>
      </c>
      <c r="U6" s="9" t="s">
        <v>78</v>
      </c>
      <c r="V6" s="26">
        <v>70</v>
      </c>
      <c r="W6" s="27" t="s">
        <v>79</v>
      </c>
      <c r="X6" s="27"/>
      <c r="Y6" s="40" t="s">
        <v>99</v>
      </c>
      <c r="Z6" s="41"/>
      <c r="AA6" s="41"/>
      <c r="AE6" s="30"/>
    </row>
    <row r="7" spans="1:36">
      <c r="A7" s="38" t="s">
        <v>131</v>
      </c>
      <c r="B7" s="82">
        <f>AE4*V4*V3</f>
        <v>48000</v>
      </c>
      <c r="C7" s="83"/>
      <c r="D7" s="82">
        <f>B7+C7</f>
        <v>48000</v>
      </c>
      <c r="E7" s="83"/>
      <c r="F7" s="83"/>
      <c r="G7" s="82">
        <f>E7+F7</f>
        <v>0</v>
      </c>
      <c r="H7" s="83"/>
      <c r="I7" s="83"/>
      <c r="J7" s="82">
        <f>H7+I7</f>
        <v>0</v>
      </c>
      <c r="K7" s="83"/>
      <c r="L7" s="83"/>
      <c r="M7" s="82">
        <f>K7+L7</f>
        <v>0</v>
      </c>
      <c r="N7" s="83"/>
      <c r="O7" s="83"/>
      <c r="P7" s="82">
        <f>N7+O7</f>
        <v>0</v>
      </c>
      <c r="Q7" s="84"/>
      <c r="R7" s="84"/>
      <c r="S7" s="84"/>
      <c r="V7" s="26"/>
      <c r="W7" s="27"/>
      <c r="X7" s="27"/>
      <c r="Y7" s="40"/>
      <c r="Z7" s="41"/>
      <c r="AA7" s="41"/>
      <c r="AD7" s="41" t="s">
        <v>134</v>
      </c>
      <c r="AE7" s="41"/>
      <c r="AF7" s="41"/>
    </row>
    <row r="8" spans="1:36">
      <c r="A8" s="38" t="s">
        <v>87</v>
      </c>
      <c r="B8" s="82">
        <f>AE12*V3</f>
        <v>24000</v>
      </c>
      <c r="C8" s="82"/>
      <c r="D8" s="82">
        <f t="shared" ref="D8:D9" si="1">B8+C8</f>
        <v>24000</v>
      </c>
      <c r="E8" s="82">
        <f>AI4*V3</f>
        <v>36000</v>
      </c>
      <c r="F8" s="82"/>
      <c r="G8" s="82">
        <f t="shared" ref="G8:G9" si="2">E8+F8</f>
        <v>36000</v>
      </c>
      <c r="H8" s="82">
        <f>AI4*V3</f>
        <v>36000</v>
      </c>
      <c r="I8" s="82"/>
      <c r="J8" s="82">
        <f t="shared" ref="J8:J9" si="3">H8+I8</f>
        <v>36000</v>
      </c>
      <c r="K8" s="82">
        <f>AI4*V3</f>
        <v>36000</v>
      </c>
      <c r="L8" s="82"/>
      <c r="M8" s="82">
        <f t="shared" ref="M8:M9" si="4">K8+L8</f>
        <v>36000</v>
      </c>
      <c r="N8" s="82">
        <f>AI4*V3</f>
        <v>36000</v>
      </c>
      <c r="O8" s="82"/>
      <c r="P8" s="82">
        <f t="shared" ref="P8:P9" si="5">N8+O8</f>
        <v>36000</v>
      </c>
      <c r="Q8" s="85">
        <f>Z8*V3</f>
        <v>75000</v>
      </c>
      <c r="R8" s="85"/>
      <c r="S8" s="85">
        <f t="shared" ref="S8:S23" si="6">Q8+R8</f>
        <v>75000</v>
      </c>
      <c r="U8" s="9" t="s">
        <v>80</v>
      </c>
      <c r="V8" s="26">
        <v>3.5</v>
      </c>
      <c r="W8" s="27" t="s">
        <v>81</v>
      </c>
      <c r="X8" s="10"/>
      <c r="Y8" s="9" t="s">
        <v>68</v>
      </c>
      <c r="Z8" s="26">
        <v>2500</v>
      </c>
      <c r="AA8" s="9" t="s">
        <v>34</v>
      </c>
      <c r="AD8" s="9" t="s">
        <v>62</v>
      </c>
      <c r="AE8" s="70">
        <v>5000</v>
      </c>
      <c r="AF8" s="9" t="s">
        <v>34</v>
      </c>
    </row>
    <row r="9" spans="1:36">
      <c r="A9" s="38" t="s">
        <v>97</v>
      </c>
      <c r="B9" s="82">
        <f>AE13*V3</f>
        <v>45000</v>
      </c>
      <c r="C9" s="82"/>
      <c r="D9" s="82">
        <f t="shared" si="1"/>
        <v>45000</v>
      </c>
      <c r="E9" s="82">
        <f>AI5*V3</f>
        <v>105000</v>
      </c>
      <c r="F9" s="82"/>
      <c r="G9" s="82">
        <f t="shared" si="2"/>
        <v>105000</v>
      </c>
      <c r="H9" s="82">
        <f>AI5*V3</f>
        <v>105000</v>
      </c>
      <c r="I9" s="82"/>
      <c r="J9" s="82">
        <f t="shared" si="3"/>
        <v>105000</v>
      </c>
      <c r="K9" s="82">
        <f>AI5*V3</f>
        <v>105000</v>
      </c>
      <c r="L9" s="82"/>
      <c r="M9" s="82">
        <f t="shared" si="4"/>
        <v>105000</v>
      </c>
      <c r="N9" s="82">
        <f>AI5*V3</f>
        <v>105000</v>
      </c>
      <c r="O9" s="82"/>
      <c r="P9" s="82">
        <f t="shared" si="5"/>
        <v>105000</v>
      </c>
      <c r="Q9" s="85">
        <f>Z9*V3</f>
        <v>105000</v>
      </c>
      <c r="R9" s="85"/>
      <c r="S9" s="85">
        <f t="shared" si="6"/>
        <v>105000</v>
      </c>
      <c r="U9" s="9" t="s">
        <v>65</v>
      </c>
      <c r="V9" s="63">
        <f>V5*V6*V8</f>
        <v>147000</v>
      </c>
      <c r="W9" s="27" t="s">
        <v>82</v>
      </c>
      <c r="X9" s="10"/>
      <c r="Y9" s="10" t="s">
        <v>69</v>
      </c>
      <c r="Z9" s="26">
        <v>3500</v>
      </c>
      <c r="AA9" s="9" t="s">
        <v>34</v>
      </c>
      <c r="AD9" s="9" t="s">
        <v>67</v>
      </c>
      <c r="AE9" s="70">
        <v>5000</v>
      </c>
      <c r="AF9" s="9" t="s">
        <v>120</v>
      </c>
    </row>
    <row r="10" spans="1:36">
      <c r="A10" s="38" t="s">
        <v>98</v>
      </c>
      <c r="B10" s="82"/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5">
        <f>Z10*V5</f>
        <v>180000</v>
      </c>
      <c r="R10" s="85"/>
      <c r="S10" s="85">
        <f t="shared" si="6"/>
        <v>180000</v>
      </c>
      <c r="V10" s="28"/>
      <c r="W10" s="27"/>
      <c r="X10" s="10"/>
      <c r="Y10" s="10" t="s">
        <v>100</v>
      </c>
      <c r="Z10" s="26">
        <f>2*150</f>
        <v>300</v>
      </c>
      <c r="AA10" s="9" t="s">
        <v>101</v>
      </c>
      <c r="AE10" s="30"/>
    </row>
    <row r="11" spans="1:36">
      <c r="A11" s="37" t="s">
        <v>19</v>
      </c>
      <c r="B11" s="83"/>
      <c r="C11" s="83"/>
      <c r="D11" s="82"/>
      <c r="E11" s="83"/>
      <c r="F11" s="83"/>
      <c r="G11" s="82"/>
      <c r="H11" s="83"/>
      <c r="I11" s="83"/>
      <c r="J11" s="82"/>
      <c r="K11" s="83"/>
      <c r="L11" s="83"/>
      <c r="M11" s="82"/>
      <c r="N11" s="83"/>
      <c r="O11" s="83"/>
      <c r="P11" s="82"/>
      <c r="Q11" s="86" t="s">
        <v>18</v>
      </c>
      <c r="R11" s="86" t="s">
        <v>29</v>
      </c>
      <c r="S11" s="86" t="s">
        <v>29</v>
      </c>
      <c r="V11" s="28"/>
      <c r="W11" s="27"/>
      <c r="X11" s="10"/>
      <c r="Z11" s="10"/>
      <c r="AD11" s="41" t="s">
        <v>99</v>
      </c>
      <c r="AE11" s="41"/>
      <c r="AF11" s="41"/>
    </row>
    <row r="12" spans="1:36">
      <c r="A12" s="38" t="s">
        <v>20</v>
      </c>
      <c r="B12" s="82"/>
      <c r="C12" s="82">
        <f>$V32*$V33</f>
        <v>200000</v>
      </c>
      <c r="D12" s="82">
        <f>B12+C12</f>
        <v>200000</v>
      </c>
      <c r="E12" s="82"/>
      <c r="F12" s="82">
        <f>$V32*$V33</f>
        <v>200000</v>
      </c>
      <c r="G12" s="82">
        <f>E12+F12</f>
        <v>200000</v>
      </c>
      <c r="H12" s="82"/>
      <c r="I12" s="82">
        <f>$V32*$V33</f>
        <v>200000</v>
      </c>
      <c r="J12" s="82">
        <f>H12+I12</f>
        <v>200000</v>
      </c>
      <c r="K12" s="82"/>
      <c r="L12" s="82">
        <f>$V32*$V33</f>
        <v>200000</v>
      </c>
      <c r="M12" s="82">
        <f>K12+L12</f>
        <v>200000</v>
      </c>
      <c r="N12" s="82"/>
      <c r="O12" s="82">
        <f>$V32*$V33</f>
        <v>200000</v>
      </c>
      <c r="P12" s="82">
        <f>N12+O12</f>
        <v>200000</v>
      </c>
      <c r="Q12" s="85"/>
      <c r="R12" s="85">
        <f>V32*V33</f>
        <v>200000</v>
      </c>
      <c r="S12" s="85">
        <f t="shared" si="6"/>
        <v>200000</v>
      </c>
      <c r="U12" s="42" t="s">
        <v>89</v>
      </c>
      <c r="V12" s="43"/>
      <c r="W12" s="43"/>
      <c r="X12" s="10"/>
      <c r="Y12" s="40" t="s">
        <v>103</v>
      </c>
      <c r="Z12" s="43"/>
      <c r="AA12" s="41"/>
      <c r="AD12" s="9" t="s">
        <v>135</v>
      </c>
      <c r="AE12" s="30">
        <v>800</v>
      </c>
      <c r="AF12" s="9" t="s">
        <v>34</v>
      </c>
    </row>
    <row r="13" spans="1:36">
      <c r="A13" s="38" t="s">
        <v>114</v>
      </c>
      <c r="B13" s="82">
        <f>AE8*V3+AE9</f>
        <v>155000</v>
      </c>
      <c r="C13" s="82"/>
      <c r="D13" s="82">
        <f t="shared" ref="D13:D17" si="7">B13+C13</f>
        <v>155000</v>
      </c>
      <c r="E13" s="82"/>
      <c r="F13" s="82"/>
      <c r="G13" s="82">
        <f t="shared" ref="G13:G17" si="8">E13+F13</f>
        <v>0</v>
      </c>
      <c r="H13" s="82"/>
      <c r="I13" s="82"/>
      <c r="J13" s="82">
        <f t="shared" ref="J13:J17" si="9">H13+I13</f>
        <v>0</v>
      </c>
      <c r="K13" s="82"/>
      <c r="L13" s="82"/>
      <c r="M13" s="82">
        <f t="shared" ref="M13:M17" si="10">K13+L13</f>
        <v>0</v>
      </c>
      <c r="N13" s="82"/>
      <c r="O13" s="82"/>
      <c r="P13" s="82">
        <f t="shared" ref="P13:P17" si="11">N13+O13</f>
        <v>0</v>
      </c>
      <c r="Q13" s="85">
        <f>V27*V28*V25+V20</f>
        <v>50000</v>
      </c>
      <c r="R13" s="85"/>
      <c r="S13" s="85">
        <f t="shared" si="6"/>
        <v>50000</v>
      </c>
      <c r="U13" s="10" t="s">
        <v>90</v>
      </c>
      <c r="V13" s="26"/>
      <c r="W13" s="27" t="s">
        <v>83</v>
      </c>
      <c r="Y13" s="9" t="s">
        <v>104</v>
      </c>
      <c r="Z13" s="26">
        <v>1000</v>
      </c>
      <c r="AA13" s="9" t="s">
        <v>34</v>
      </c>
      <c r="AD13" s="9" t="s">
        <v>136</v>
      </c>
      <c r="AE13" s="70">
        <v>1500</v>
      </c>
      <c r="AF13" s="9" t="s">
        <v>34</v>
      </c>
    </row>
    <row r="14" spans="1:36">
      <c r="A14" s="38" t="s">
        <v>102</v>
      </c>
      <c r="B14" s="82"/>
      <c r="C14" s="82"/>
      <c r="D14" s="82">
        <f t="shared" si="7"/>
        <v>0</v>
      </c>
      <c r="E14" s="82"/>
      <c r="F14" s="82"/>
      <c r="G14" s="82">
        <f t="shared" si="8"/>
        <v>0</v>
      </c>
      <c r="H14" s="82"/>
      <c r="I14" s="82"/>
      <c r="J14" s="82">
        <f t="shared" si="9"/>
        <v>0</v>
      </c>
      <c r="K14" s="82"/>
      <c r="L14" s="82"/>
      <c r="M14" s="82">
        <f t="shared" si="10"/>
        <v>0</v>
      </c>
      <c r="N14" s="82"/>
      <c r="O14" s="82"/>
      <c r="P14" s="82">
        <f t="shared" si="11"/>
        <v>0</v>
      </c>
      <c r="Q14" s="85">
        <f>Z13*V3</f>
        <v>30000</v>
      </c>
      <c r="R14" s="85"/>
      <c r="S14" s="85">
        <f t="shared" si="6"/>
        <v>30000</v>
      </c>
      <c r="U14" s="10" t="s">
        <v>91</v>
      </c>
      <c r="V14" s="26"/>
      <c r="W14" s="27" t="s">
        <v>83</v>
      </c>
      <c r="Y14" s="9" t="s">
        <v>70</v>
      </c>
      <c r="Z14" s="26">
        <v>50000</v>
      </c>
      <c r="AA14" s="9" t="s">
        <v>74</v>
      </c>
    </row>
    <row r="15" spans="1:36">
      <c r="A15" s="38" t="s">
        <v>106</v>
      </c>
      <c r="B15" s="82">
        <v>50000</v>
      </c>
      <c r="C15" s="82"/>
      <c r="D15" s="82">
        <f t="shared" si="7"/>
        <v>50000</v>
      </c>
      <c r="E15" s="82">
        <v>50000</v>
      </c>
      <c r="F15" s="82"/>
      <c r="G15" s="82">
        <f t="shared" si="8"/>
        <v>50000</v>
      </c>
      <c r="H15" s="82">
        <v>50000</v>
      </c>
      <c r="I15" s="82"/>
      <c r="J15" s="82">
        <f t="shared" si="9"/>
        <v>50000</v>
      </c>
      <c r="K15" s="82">
        <v>50000</v>
      </c>
      <c r="L15" s="82"/>
      <c r="M15" s="82">
        <f t="shared" si="10"/>
        <v>50000</v>
      </c>
      <c r="N15" s="82">
        <v>50000</v>
      </c>
      <c r="O15" s="82"/>
      <c r="P15" s="82">
        <f t="shared" si="11"/>
        <v>50000</v>
      </c>
      <c r="Q15" s="85">
        <f>Z14</f>
        <v>50000</v>
      </c>
      <c r="R15" s="85"/>
      <c r="S15" s="85">
        <f t="shared" si="6"/>
        <v>50000</v>
      </c>
      <c r="U15" s="10" t="s">
        <v>92</v>
      </c>
      <c r="V15" s="26"/>
      <c r="W15" s="27" t="s">
        <v>83</v>
      </c>
      <c r="Z15" s="26"/>
    </row>
    <row r="16" spans="1:36">
      <c r="A16" s="38" t="s">
        <v>21</v>
      </c>
      <c r="B16" s="82">
        <f>การลงทุนและค่าเสื่อม!N15</f>
        <v>25500</v>
      </c>
      <c r="C16" s="82"/>
      <c r="D16" s="82">
        <f t="shared" si="7"/>
        <v>25500</v>
      </c>
      <c r="E16" s="82">
        <f>การลงทุนและค่าเสื่อม!N15</f>
        <v>25500</v>
      </c>
      <c r="F16" s="82"/>
      <c r="G16" s="82">
        <f t="shared" si="8"/>
        <v>25500</v>
      </c>
      <c r="H16" s="82">
        <f>การลงทุนและค่าเสื่อม!N15</f>
        <v>25500</v>
      </c>
      <c r="I16" s="82"/>
      <c r="J16" s="82">
        <f t="shared" si="9"/>
        <v>25500</v>
      </c>
      <c r="K16" s="82">
        <f>การลงทุนและค่าเสื่อม!N15</f>
        <v>25500</v>
      </c>
      <c r="L16" s="82"/>
      <c r="M16" s="82">
        <f t="shared" si="10"/>
        <v>25500</v>
      </c>
      <c r="N16" s="82">
        <f>การลงทุนและค่าเสื่อม!N15</f>
        <v>25500</v>
      </c>
      <c r="O16" s="82"/>
      <c r="P16" s="82">
        <f t="shared" si="11"/>
        <v>25500</v>
      </c>
      <c r="Q16" s="85">
        <f>การลงทุนและค่าเสื่อม!N15</f>
        <v>25500</v>
      </c>
      <c r="R16" s="85"/>
      <c r="S16" s="85">
        <f t="shared" si="6"/>
        <v>25500</v>
      </c>
      <c r="U16" s="10" t="s">
        <v>93</v>
      </c>
      <c r="V16" s="26"/>
      <c r="W16" s="27" t="s">
        <v>83</v>
      </c>
    </row>
    <row r="17" spans="1:27">
      <c r="A17" s="38" t="s">
        <v>22</v>
      </c>
      <c r="B17" s="82"/>
      <c r="C17" s="85">
        <f>B5*$Z20</f>
        <v>2246.25</v>
      </c>
      <c r="D17" s="82">
        <f t="shared" si="7"/>
        <v>2246.25</v>
      </c>
      <c r="E17" s="82"/>
      <c r="F17" s="85">
        <f>E5*$Z20</f>
        <v>1623.75</v>
      </c>
      <c r="G17" s="82">
        <f t="shared" si="8"/>
        <v>1623.75</v>
      </c>
      <c r="H17" s="82"/>
      <c r="I17" s="85">
        <f>H5*$Z20</f>
        <v>1623.75</v>
      </c>
      <c r="J17" s="82">
        <f t="shared" si="9"/>
        <v>1623.75</v>
      </c>
      <c r="K17" s="82"/>
      <c r="L17" s="85">
        <f>K5*$Z20</f>
        <v>1623.75</v>
      </c>
      <c r="M17" s="82">
        <f t="shared" si="10"/>
        <v>1623.75</v>
      </c>
      <c r="N17" s="82"/>
      <c r="O17" s="85">
        <f>N5*$Z20</f>
        <v>1623.75</v>
      </c>
      <c r="P17" s="82">
        <f t="shared" si="11"/>
        <v>1623.75</v>
      </c>
      <c r="Q17" s="85"/>
      <c r="R17" s="85">
        <f>Q5*$Z20</f>
        <v>3866.25</v>
      </c>
      <c r="S17" s="85">
        <f t="shared" si="6"/>
        <v>3866.25</v>
      </c>
      <c r="U17" s="46" t="s">
        <v>94</v>
      </c>
      <c r="V17" s="48">
        <v>125</v>
      </c>
      <c r="W17" s="47" t="s">
        <v>83</v>
      </c>
    </row>
    <row r="18" spans="1:27">
      <c r="A18" s="49" t="s">
        <v>23</v>
      </c>
      <c r="B18" s="50">
        <f t="shared" ref="B18" si="12">SUM(B19:B21)</f>
        <v>3000</v>
      </c>
      <c r="C18" s="50">
        <f>SUM(C19:C21)</f>
        <v>3149316.0166666666</v>
      </c>
      <c r="D18" s="50">
        <f t="shared" ref="D18:P18" si="13">SUM(D19:D21)</f>
        <v>3038489.35</v>
      </c>
      <c r="E18" s="50">
        <f t="shared" si="13"/>
        <v>3000</v>
      </c>
      <c r="F18" s="50">
        <f t="shared" si="13"/>
        <v>3149316.0166666666</v>
      </c>
      <c r="G18" s="50">
        <f t="shared" si="13"/>
        <v>3038489.35</v>
      </c>
      <c r="H18" s="50">
        <f t="shared" si="13"/>
        <v>3000</v>
      </c>
      <c r="I18" s="50">
        <f t="shared" si="13"/>
        <v>3149316.0166666666</v>
      </c>
      <c r="J18" s="50">
        <f t="shared" si="13"/>
        <v>3038489.35</v>
      </c>
      <c r="K18" s="50">
        <f t="shared" si="13"/>
        <v>3000</v>
      </c>
      <c r="L18" s="50">
        <f t="shared" si="13"/>
        <v>3149316.0166666666</v>
      </c>
      <c r="M18" s="50">
        <f t="shared" si="13"/>
        <v>3038489.35</v>
      </c>
      <c r="N18" s="50">
        <f t="shared" si="13"/>
        <v>3000</v>
      </c>
      <c r="O18" s="50">
        <f t="shared" si="13"/>
        <v>3149316.0166666666</v>
      </c>
      <c r="P18" s="50">
        <f t="shared" si="13"/>
        <v>3038489.35</v>
      </c>
      <c r="Q18" s="50">
        <f>SUM(Q19:Q22)</f>
        <v>3000</v>
      </c>
      <c r="R18" s="50">
        <f t="shared" ref="R18:S18" si="14">SUM(R19:R22)</f>
        <v>5378539.7258986663</v>
      </c>
      <c r="S18" s="50">
        <f t="shared" si="14"/>
        <v>5381539.7258986663</v>
      </c>
    </row>
    <row r="19" spans="1:27">
      <c r="A19" s="38" t="s">
        <v>24</v>
      </c>
      <c r="B19" s="45">
        <f>$Z4</f>
        <v>3000</v>
      </c>
      <c r="C19" s="45">
        <f>$Z3*$V3</f>
        <v>3000000</v>
      </c>
      <c r="D19" s="45">
        <f>$Q19+$R19</f>
        <v>3003000</v>
      </c>
      <c r="E19" s="45">
        <f>$Z4</f>
        <v>3000</v>
      </c>
      <c r="F19" s="45">
        <f>$Z3*$V3</f>
        <v>3000000</v>
      </c>
      <c r="G19" s="45">
        <f>$Q19+$R19</f>
        <v>3003000</v>
      </c>
      <c r="H19" s="45">
        <f>$Z4</f>
        <v>3000</v>
      </c>
      <c r="I19" s="45">
        <f>$Z3*$V3</f>
        <v>3000000</v>
      </c>
      <c r="J19" s="45">
        <f>$Q19+$R19</f>
        <v>3003000</v>
      </c>
      <c r="K19" s="45">
        <f>$Z4</f>
        <v>3000</v>
      </c>
      <c r="L19" s="45">
        <f>$Z3*$V3</f>
        <v>3000000</v>
      </c>
      <c r="M19" s="45">
        <f>$Q19+$R19</f>
        <v>3003000</v>
      </c>
      <c r="N19" s="45">
        <f>$Z4</f>
        <v>3000</v>
      </c>
      <c r="O19" s="45">
        <f>$Z3*$V3</f>
        <v>3000000</v>
      </c>
      <c r="P19" s="45">
        <f>$Q19+$R19</f>
        <v>3003000</v>
      </c>
      <c r="Q19" s="45">
        <f>$Z4</f>
        <v>3000</v>
      </c>
      <c r="R19" s="45">
        <f>$Z3*$V3</f>
        <v>3000000</v>
      </c>
      <c r="S19" s="45">
        <f>$Q19+$R19</f>
        <v>3003000</v>
      </c>
      <c r="U19" s="42" t="s">
        <v>113</v>
      </c>
      <c r="V19" s="41"/>
      <c r="W19" s="41"/>
      <c r="Y19" s="40" t="s">
        <v>107</v>
      </c>
      <c r="Z19" s="43"/>
      <c r="AA19" s="41"/>
    </row>
    <row r="20" spans="1:27">
      <c r="A20" s="38" t="s">
        <v>25</v>
      </c>
      <c r="B20" s="69"/>
      <c r="C20" s="45">
        <f>การลงทุนและค่าเสื่อม!$I15</f>
        <v>113826.66666666667</v>
      </c>
      <c r="D20" s="69"/>
      <c r="E20" s="69"/>
      <c r="F20" s="45">
        <f>การลงทุนและค่าเสื่อม!$I15</f>
        <v>113826.66666666667</v>
      </c>
      <c r="G20" s="69"/>
      <c r="H20" s="69"/>
      <c r="I20" s="45">
        <f>การลงทุนและค่าเสื่อม!$I15</f>
        <v>113826.66666666667</v>
      </c>
      <c r="J20" s="69"/>
      <c r="K20" s="69"/>
      <c r="L20" s="45">
        <f>การลงทุนและค่าเสื่อม!$I15</f>
        <v>113826.66666666667</v>
      </c>
      <c r="M20" s="69"/>
      <c r="N20" s="69"/>
      <c r="O20" s="45">
        <f>การลงทุนและค่าเสื่อม!$I15</f>
        <v>113826.66666666667</v>
      </c>
      <c r="P20" s="69"/>
      <c r="Q20" s="45">
        <v>0</v>
      </c>
      <c r="R20" s="45">
        <f>การลงทุนและค่าเสื่อม!$I15</f>
        <v>113826.66666666667</v>
      </c>
      <c r="S20" s="45">
        <f t="shared" si="6"/>
        <v>113826.66666666667</v>
      </c>
      <c r="U20" s="31" t="s">
        <v>36</v>
      </c>
      <c r="V20" s="28">
        <v>20000</v>
      </c>
      <c r="W20" s="10" t="s">
        <v>37</v>
      </c>
      <c r="X20" s="27"/>
      <c r="Y20" s="10" t="s">
        <v>108</v>
      </c>
      <c r="Z20" s="35">
        <v>7.4999999999999997E-3</v>
      </c>
      <c r="AA20" s="9" t="s">
        <v>86</v>
      </c>
    </row>
    <row r="21" spans="1:27">
      <c r="A21" s="38" t="s">
        <v>26</v>
      </c>
      <c r="B21" s="45">
        <v>0</v>
      </c>
      <c r="C21" s="45">
        <f>การลงทุนและค่าเสื่อม!$L15</f>
        <v>35489.35</v>
      </c>
      <c r="D21" s="45">
        <f t="shared" ref="D21:D23" si="15">B21+C21</f>
        <v>35489.35</v>
      </c>
      <c r="E21" s="45">
        <v>0</v>
      </c>
      <c r="F21" s="45">
        <f>การลงทุนและค่าเสื่อม!$L15</f>
        <v>35489.35</v>
      </c>
      <c r="G21" s="45">
        <f t="shared" ref="G21:G23" si="16">E21+F21</f>
        <v>35489.35</v>
      </c>
      <c r="H21" s="45">
        <v>0</v>
      </c>
      <c r="I21" s="45">
        <f>การลงทุนและค่าเสื่อม!$L15</f>
        <v>35489.35</v>
      </c>
      <c r="J21" s="45">
        <f t="shared" ref="J21:J23" si="17">H21+I21</f>
        <v>35489.35</v>
      </c>
      <c r="K21" s="45">
        <v>0</v>
      </c>
      <c r="L21" s="45">
        <f>การลงทุนและค่าเสื่อม!$L15</f>
        <v>35489.35</v>
      </c>
      <c r="M21" s="45">
        <f t="shared" ref="M21:M23" si="18">K21+L21</f>
        <v>35489.35</v>
      </c>
      <c r="N21" s="45">
        <v>0</v>
      </c>
      <c r="O21" s="45">
        <f>การลงทุนและค่าเสื่อม!$L15</f>
        <v>35489.35</v>
      </c>
      <c r="P21" s="45">
        <f t="shared" ref="P21:P23" si="19">N21+O21</f>
        <v>35489.35</v>
      </c>
      <c r="Q21" s="45">
        <v>0</v>
      </c>
      <c r="R21" s="45">
        <f>การลงทุนและค่าเสื่อม!$L15</f>
        <v>35489.35</v>
      </c>
      <c r="S21" s="45">
        <f>Q21+R21</f>
        <v>35489.35</v>
      </c>
      <c r="U21" s="10" t="s">
        <v>84</v>
      </c>
      <c r="V21" s="32">
        <v>6.5000000000000002E-2</v>
      </c>
      <c r="W21" s="10" t="s">
        <v>86</v>
      </c>
      <c r="Y21" s="10" t="s">
        <v>109</v>
      </c>
      <c r="Z21" s="36">
        <v>6.5000000000000002E-2</v>
      </c>
      <c r="AA21" s="9" t="s">
        <v>86</v>
      </c>
    </row>
    <row r="22" spans="1:27" ht="20" customHeight="1">
      <c r="A22" s="38" t="s">
        <v>145</v>
      </c>
      <c r="B22" s="45"/>
      <c r="C22" s="45"/>
      <c r="D22" s="69">
        <f t="shared" si="15"/>
        <v>0</v>
      </c>
      <c r="E22" s="45"/>
      <c r="F22" s="45"/>
      <c r="G22" s="69">
        <f t="shared" si="16"/>
        <v>0</v>
      </c>
      <c r="H22" s="45"/>
      <c r="I22" s="45"/>
      <c r="J22" s="69">
        <f t="shared" si="17"/>
        <v>0</v>
      </c>
      <c r="K22" s="45"/>
      <c r="L22" s="45"/>
      <c r="M22" s="69">
        <f t="shared" si="18"/>
        <v>0</v>
      </c>
      <c r="N22" s="45"/>
      <c r="O22" s="45"/>
      <c r="P22" s="69">
        <f t="shared" si="19"/>
        <v>0</v>
      </c>
      <c r="Q22" s="45"/>
      <c r="R22" s="45">
        <f>(D27+G27+J27+M27+P27)*0.117</f>
        <v>2229223.7092319997</v>
      </c>
      <c r="S22" s="69">
        <f t="shared" ref="S22" si="20">Q22+R22</f>
        <v>2229223.7092319997</v>
      </c>
      <c r="U22" s="10"/>
      <c r="V22" s="32"/>
      <c r="W22" s="10"/>
      <c r="Y22" s="10"/>
      <c r="Z22" s="36"/>
    </row>
    <row r="23" spans="1:27">
      <c r="A23" s="80" t="s">
        <v>27</v>
      </c>
      <c r="B23" s="81">
        <f t="shared" ref="B23:C23" si="21">B5+B18</f>
        <v>302500</v>
      </c>
      <c r="C23" s="81">
        <f t="shared" si="21"/>
        <v>3351562.2666666666</v>
      </c>
      <c r="D23" s="81">
        <f t="shared" si="15"/>
        <v>3654062.2666666666</v>
      </c>
      <c r="E23" s="81">
        <f t="shared" ref="E23:F23" si="22">E5+E18</f>
        <v>219500</v>
      </c>
      <c r="F23" s="81">
        <f t="shared" si="22"/>
        <v>3350939.7666666666</v>
      </c>
      <c r="G23" s="81">
        <f t="shared" si="16"/>
        <v>3570439.7666666666</v>
      </c>
      <c r="H23" s="81">
        <f t="shared" ref="H23:I23" si="23">H5+H18</f>
        <v>219500</v>
      </c>
      <c r="I23" s="81">
        <f t="shared" si="23"/>
        <v>3350939.7666666666</v>
      </c>
      <c r="J23" s="81">
        <f t="shared" si="17"/>
        <v>3570439.7666666666</v>
      </c>
      <c r="K23" s="81">
        <f t="shared" ref="K23:L23" si="24">K5+K18</f>
        <v>219500</v>
      </c>
      <c r="L23" s="81">
        <f t="shared" si="24"/>
        <v>3350939.7666666666</v>
      </c>
      <c r="M23" s="81">
        <f t="shared" si="18"/>
        <v>3570439.7666666666</v>
      </c>
      <c r="N23" s="81">
        <f t="shared" ref="N23:O23" si="25">N5+N18</f>
        <v>219500</v>
      </c>
      <c r="O23" s="81">
        <f t="shared" si="25"/>
        <v>3350939.7666666666</v>
      </c>
      <c r="P23" s="81">
        <f t="shared" si="19"/>
        <v>3570439.7666666666</v>
      </c>
      <c r="Q23" s="81">
        <f>Q5+Q18</f>
        <v>518500</v>
      </c>
      <c r="R23" s="81">
        <f>R5+R18</f>
        <v>5582405.9758986663</v>
      </c>
      <c r="S23" s="81">
        <f t="shared" si="6"/>
        <v>6100905.9758986663</v>
      </c>
      <c r="U23" s="10" t="s">
        <v>85</v>
      </c>
      <c r="V23" s="32"/>
      <c r="W23" s="10" t="s">
        <v>86</v>
      </c>
      <c r="Z23" s="10"/>
    </row>
    <row r="24" spans="1:27">
      <c r="A24" s="78" t="s">
        <v>157</v>
      </c>
      <c r="B24" s="79">
        <f>B23/30</f>
        <v>10083.333333333334</v>
      </c>
      <c r="C24" s="79">
        <f>C23/30</f>
        <v>111718.74222222222</v>
      </c>
      <c r="D24" s="79">
        <f t="shared" ref="D24:S24" si="26">D23/30</f>
        <v>121802.07555555555</v>
      </c>
      <c r="E24" s="79">
        <f t="shared" si="26"/>
        <v>7316.666666666667</v>
      </c>
      <c r="F24" s="79">
        <f t="shared" si="26"/>
        <v>111697.99222222222</v>
      </c>
      <c r="G24" s="79">
        <f t="shared" si="26"/>
        <v>119014.65888888888</v>
      </c>
      <c r="H24" s="79">
        <f t="shared" si="26"/>
        <v>7316.666666666667</v>
      </c>
      <c r="I24" s="79">
        <f t="shared" si="26"/>
        <v>111697.99222222222</v>
      </c>
      <c r="J24" s="79">
        <f t="shared" si="26"/>
        <v>119014.65888888888</v>
      </c>
      <c r="K24" s="79">
        <f t="shared" si="26"/>
        <v>7316.666666666667</v>
      </c>
      <c r="L24" s="79">
        <f t="shared" si="26"/>
        <v>111697.99222222222</v>
      </c>
      <c r="M24" s="79">
        <f t="shared" si="26"/>
        <v>119014.65888888888</v>
      </c>
      <c r="N24" s="79">
        <f t="shared" si="26"/>
        <v>7316.666666666667</v>
      </c>
      <c r="O24" s="79">
        <f t="shared" si="26"/>
        <v>111697.99222222222</v>
      </c>
      <c r="P24" s="79">
        <f t="shared" si="26"/>
        <v>119014.65888888888</v>
      </c>
      <c r="Q24" s="79">
        <f t="shared" si="26"/>
        <v>17283.333333333332</v>
      </c>
      <c r="R24" s="79">
        <f t="shared" si="26"/>
        <v>186080.19919662221</v>
      </c>
      <c r="S24" s="79">
        <f t="shared" si="26"/>
        <v>203363.53252995556</v>
      </c>
      <c r="U24" s="29" t="s">
        <v>75</v>
      </c>
      <c r="V24" s="10"/>
      <c r="Z24" s="10"/>
    </row>
    <row r="25" spans="1:27">
      <c r="A25" s="78" t="s">
        <v>158</v>
      </c>
      <c r="B25" s="79">
        <f>B23/$E33</f>
        <v>2.0578231292517009</v>
      </c>
      <c r="C25" s="79">
        <f t="shared" ref="C25:S25" si="27">C23/$E33</f>
        <v>22.799743310657597</v>
      </c>
      <c r="D25" s="79">
        <f t="shared" si="27"/>
        <v>24.857566439909295</v>
      </c>
      <c r="E25" s="79">
        <f t="shared" si="27"/>
        <v>1.4931972789115646</v>
      </c>
      <c r="F25" s="79">
        <f t="shared" si="27"/>
        <v>22.795508616780044</v>
      </c>
      <c r="G25" s="79">
        <f t="shared" si="27"/>
        <v>24.28870589569161</v>
      </c>
      <c r="H25" s="79">
        <f t="shared" si="27"/>
        <v>1.4931972789115646</v>
      </c>
      <c r="I25" s="79">
        <f t="shared" si="27"/>
        <v>22.795508616780044</v>
      </c>
      <c r="J25" s="79">
        <f t="shared" si="27"/>
        <v>24.28870589569161</v>
      </c>
      <c r="K25" s="79">
        <f t="shared" si="27"/>
        <v>1.4931972789115646</v>
      </c>
      <c r="L25" s="79">
        <f t="shared" si="27"/>
        <v>22.795508616780044</v>
      </c>
      <c r="M25" s="79">
        <f t="shared" si="27"/>
        <v>24.28870589569161</v>
      </c>
      <c r="N25" s="79">
        <f t="shared" si="27"/>
        <v>1.4931972789115646</v>
      </c>
      <c r="O25" s="79">
        <f t="shared" si="27"/>
        <v>22.795508616780044</v>
      </c>
      <c r="P25" s="79">
        <f t="shared" si="27"/>
        <v>24.28870589569161</v>
      </c>
      <c r="Q25" s="79">
        <f t="shared" si="27"/>
        <v>3.5272108843537415</v>
      </c>
      <c r="R25" s="79">
        <f t="shared" si="27"/>
        <v>37.975550856453509</v>
      </c>
      <c r="S25" s="79">
        <f t="shared" si="27"/>
        <v>41.502761740807252</v>
      </c>
      <c r="U25" s="9" t="s">
        <v>122</v>
      </c>
      <c r="V25" s="34">
        <v>5</v>
      </c>
      <c r="W25" s="9" t="s">
        <v>76</v>
      </c>
      <c r="Z25" s="10"/>
    </row>
    <row r="26" spans="1:27">
      <c r="A26" s="87" t="s">
        <v>159</v>
      </c>
      <c r="B26" s="88"/>
      <c r="C26" s="88"/>
      <c r="D26" s="89">
        <v>1.1259999999999999</v>
      </c>
      <c r="E26" s="88"/>
      <c r="F26" s="88"/>
      <c r="G26" s="89">
        <v>1.093</v>
      </c>
      <c r="H26" s="88"/>
      <c r="I26" s="88"/>
      <c r="J26" s="89">
        <v>1.0609999999999999</v>
      </c>
      <c r="K26" s="88"/>
      <c r="L26" s="88"/>
      <c r="M26" s="89">
        <f>1.03</f>
        <v>1.03</v>
      </c>
      <c r="N26" s="88"/>
      <c r="O26" s="88"/>
      <c r="P26" s="89">
        <v>1</v>
      </c>
      <c r="Q26" s="88"/>
      <c r="R26" s="88"/>
      <c r="S26" s="88"/>
      <c r="V26" s="34"/>
      <c r="Z26" s="10"/>
    </row>
    <row r="27" spans="1:27">
      <c r="A27" s="91" t="s">
        <v>160</v>
      </c>
      <c r="B27" s="92"/>
      <c r="C27" s="92"/>
      <c r="D27" s="92">
        <f>D23*D26</f>
        <v>4114474.1122666663</v>
      </c>
      <c r="E27" s="92"/>
      <c r="F27" s="92"/>
      <c r="G27" s="92">
        <f>G23*G26</f>
        <v>3902490.6649666666</v>
      </c>
      <c r="H27" s="92"/>
      <c r="I27" s="92"/>
      <c r="J27" s="92">
        <f>J23*J26</f>
        <v>3788236.5924333329</v>
      </c>
      <c r="K27" s="92"/>
      <c r="L27" s="92"/>
      <c r="M27" s="92">
        <f>M23*M26</f>
        <v>3677552.9596666666</v>
      </c>
      <c r="N27" s="92"/>
      <c r="O27" s="92"/>
      <c r="P27" s="92">
        <f>P23*P26</f>
        <v>3570439.7666666666</v>
      </c>
      <c r="Q27" s="90"/>
      <c r="R27" s="90"/>
      <c r="S27" s="90"/>
      <c r="U27" s="9" t="s">
        <v>77</v>
      </c>
      <c r="V27" s="26">
        <v>15</v>
      </c>
      <c r="W27" s="9" t="s">
        <v>38</v>
      </c>
      <c r="Z27" s="10"/>
    </row>
    <row r="28" spans="1:27">
      <c r="A28" s="96" t="s">
        <v>152</v>
      </c>
      <c r="B28" s="97"/>
      <c r="C28" s="97"/>
      <c r="D28" s="98"/>
      <c r="E28" s="73" t="s">
        <v>30</v>
      </c>
      <c r="U28" s="9" t="s">
        <v>39</v>
      </c>
      <c r="V28" s="26">
        <v>400</v>
      </c>
      <c r="W28" s="9" t="s">
        <v>73</v>
      </c>
      <c r="Z28" s="10"/>
    </row>
    <row r="29" spans="1:27">
      <c r="A29" s="99" t="s">
        <v>151</v>
      </c>
      <c r="B29" s="100"/>
      <c r="C29" s="100"/>
      <c r="D29" s="101"/>
      <c r="E29" s="77">
        <v>30</v>
      </c>
      <c r="U29" s="29" t="s">
        <v>35</v>
      </c>
      <c r="V29" s="10"/>
    </row>
    <row r="30" spans="1:27">
      <c r="A30" s="93" t="s">
        <v>140</v>
      </c>
      <c r="B30" s="94"/>
      <c r="C30" s="94"/>
      <c r="D30" s="95"/>
      <c r="E30" s="74">
        <v>20</v>
      </c>
      <c r="U30" s="9" t="s">
        <v>30</v>
      </c>
      <c r="V30" s="26">
        <v>2</v>
      </c>
      <c r="W30" s="9" t="s">
        <v>110</v>
      </c>
    </row>
    <row r="31" spans="1:27">
      <c r="A31" s="93" t="s">
        <v>141</v>
      </c>
      <c r="B31" s="94"/>
      <c r="C31" s="94"/>
      <c r="D31" s="95"/>
      <c r="E31" s="74">
        <v>70</v>
      </c>
      <c r="U31" s="9" t="s">
        <v>111</v>
      </c>
      <c r="V31" s="26">
        <v>250</v>
      </c>
      <c r="W31" s="9" t="s">
        <v>112</v>
      </c>
    </row>
    <row r="32" spans="1:27">
      <c r="A32" s="93" t="s">
        <v>142</v>
      </c>
      <c r="B32" s="94"/>
      <c r="C32" s="94"/>
      <c r="D32" s="95"/>
      <c r="E32" s="74">
        <v>3.5</v>
      </c>
      <c r="U32" s="9" t="s">
        <v>71</v>
      </c>
      <c r="V32" s="26">
        <f>V30*V31</f>
        <v>500</v>
      </c>
      <c r="W32" s="9" t="s">
        <v>71</v>
      </c>
    </row>
    <row r="33" spans="1:26">
      <c r="A33" s="93" t="s">
        <v>143</v>
      </c>
      <c r="B33" s="94"/>
      <c r="C33" s="94"/>
      <c r="D33" s="95"/>
      <c r="E33" s="74">
        <f>E29*E30*E31*E32</f>
        <v>147000</v>
      </c>
      <c r="U33" s="9" t="s">
        <v>72</v>
      </c>
      <c r="V33" s="26">
        <v>400</v>
      </c>
      <c r="W33" s="9" t="s">
        <v>73</v>
      </c>
    </row>
    <row r="34" spans="1:26">
      <c r="A34" s="93" t="s">
        <v>144</v>
      </c>
      <c r="B34" s="94"/>
      <c r="C34" s="94"/>
      <c r="D34" s="95"/>
      <c r="E34" s="74">
        <v>125</v>
      </c>
      <c r="W34" s="10"/>
      <c r="X34" s="10"/>
      <c r="Y34" s="10"/>
      <c r="Z34" s="10"/>
    </row>
    <row r="35" spans="1:26">
      <c r="A35" s="93" t="s">
        <v>154</v>
      </c>
      <c r="B35" s="94"/>
      <c r="C35" s="94"/>
      <c r="D35" s="95"/>
      <c r="E35" s="74">
        <f>E34*E33</f>
        <v>18375000</v>
      </c>
      <c r="X35" s="10"/>
    </row>
    <row r="36" spans="1:26">
      <c r="A36" s="75" t="s">
        <v>147</v>
      </c>
      <c r="B36" s="76" t="s">
        <v>105</v>
      </c>
      <c r="C36" s="76" t="s">
        <v>34</v>
      </c>
      <c r="D36" s="76" t="s">
        <v>101</v>
      </c>
      <c r="E36" s="76" t="s">
        <v>150</v>
      </c>
      <c r="V36" s="10"/>
      <c r="W36" s="10"/>
      <c r="X36" s="10"/>
      <c r="Y36" s="10"/>
    </row>
    <row r="37" spans="1:26">
      <c r="A37" s="38" t="s">
        <v>148</v>
      </c>
      <c r="B37" s="69">
        <f>E35</f>
        <v>18375000</v>
      </c>
      <c r="C37" s="69">
        <f>B37/E29</f>
        <v>612500</v>
      </c>
      <c r="D37" s="69">
        <f>C37/E30</f>
        <v>30625</v>
      </c>
      <c r="E37" s="69">
        <f>D37/E31</f>
        <v>437.5</v>
      </c>
      <c r="V37" s="10"/>
      <c r="W37" s="10"/>
      <c r="Y37" s="10"/>
    </row>
    <row r="38" spans="1:26">
      <c r="A38" s="38" t="s">
        <v>149</v>
      </c>
      <c r="B38" s="69">
        <f>E35-Q23</f>
        <v>17856500</v>
      </c>
      <c r="C38" s="69">
        <f>B38/E29</f>
        <v>595216.66666666663</v>
      </c>
      <c r="D38" s="69">
        <f>C38/E30</f>
        <v>29760.833333333332</v>
      </c>
      <c r="E38" s="69">
        <f>D38/E31</f>
        <v>425.15476190476187</v>
      </c>
      <c r="V38" s="10"/>
      <c r="W38" s="10"/>
      <c r="X38" s="33"/>
    </row>
    <row r="39" spans="1:26">
      <c r="A39" s="38" t="s">
        <v>155</v>
      </c>
      <c r="B39" s="69">
        <f>E35-R23</f>
        <v>12792594.024101334</v>
      </c>
      <c r="C39" s="69">
        <f>B39/E29</f>
        <v>426419.80080337782</v>
      </c>
      <c r="D39" s="69">
        <f>C39/E30</f>
        <v>21320.99004016889</v>
      </c>
      <c r="E39" s="69">
        <f>D39/E31</f>
        <v>304.58557200241273</v>
      </c>
      <c r="X39" s="33"/>
    </row>
    <row r="40" spans="1:26">
      <c r="A40" s="38" t="s">
        <v>156</v>
      </c>
      <c r="B40" s="69">
        <f>E35-S23</f>
        <v>12274094.024101334</v>
      </c>
      <c r="C40" s="69">
        <f>B40/E29</f>
        <v>409136.46747004444</v>
      </c>
      <c r="D40" s="69">
        <f>C40/E30</f>
        <v>20456.823373502222</v>
      </c>
      <c r="E40" s="69">
        <f>D40/E31</f>
        <v>292.2403339071746</v>
      </c>
      <c r="V40" s="10"/>
    </row>
  </sheetData>
  <mergeCells count="14">
    <mergeCell ref="Q3:S3"/>
    <mergeCell ref="B3:D3"/>
    <mergeCell ref="E3:G3"/>
    <mergeCell ref="H3:J3"/>
    <mergeCell ref="K3:M3"/>
    <mergeCell ref="N3:P3"/>
    <mergeCell ref="A34:D34"/>
    <mergeCell ref="A35:D35"/>
    <mergeCell ref="A28:D28"/>
    <mergeCell ref="A29:D29"/>
    <mergeCell ref="A30:D30"/>
    <mergeCell ref="A31:D31"/>
    <mergeCell ref="A32:D32"/>
    <mergeCell ref="A33:D33"/>
  </mergeCells>
  <pageMargins left="0.7" right="0.7" top="0.75" bottom="0.75" header="0.3" footer="0.3"/>
  <pageSetup paperSize="9" orientation="portrait" verticalDpi="0" r:id="rId1"/>
  <drawing r:id="rId2"/>
  <legacyDrawing r:id="rId3"/>
  <oleObjects>
    <mc:AlternateContent xmlns:mc="http://schemas.openxmlformats.org/markup-compatibility/2006">
      <mc:Choice Requires="x14">
        <oleObject progId="Excel.Sheet.12" shapeId="4097" r:id="rId4">
          <objectPr defaultSize="0" r:id="rId5">
            <anchor moveWithCells="1">
              <from>
                <xdr:col>5</xdr:col>
                <xdr:colOff>622300</xdr:colOff>
                <xdr:row>27</xdr:row>
                <xdr:rowOff>133350</xdr:rowOff>
              </from>
              <to>
                <xdr:col>11</xdr:col>
                <xdr:colOff>463550</xdr:colOff>
                <xdr:row>37</xdr:row>
                <xdr:rowOff>171450</xdr:rowOff>
              </to>
            </anchor>
          </objectPr>
        </oleObject>
      </mc:Choice>
      <mc:Fallback>
        <oleObject progId="Excel.Sheet.12" shapeId="4097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8BF582-A097-EE49-B814-2FCA50F08E92}">
  <sheetPr>
    <tabColor rgb="FFC00000"/>
  </sheetPr>
  <dimension ref="A1:AJ39"/>
  <sheetViews>
    <sheetView topLeftCell="A12" zoomScale="110" zoomScaleNormal="110" workbookViewId="0">
      <selection activeCell="R33" sqref="R33"/>
    </sheetView>
  </sheetViews>
  <sheetFormatPr defaultColWidth="8.90625" defaultRowHeight="24"/>
  <cols>
    <col min="1" max="1" width="38.08984375" style="9" customWidth="1"/>
    <col min="2" max="2" width="14.7265625" style="67" customWidth="1"/>
    <col min="3" max="3" width="12.6328125" style="67" customWidth="1"/>
    <col min="4" max="4" width="13.36328125" style="67" customWidth="1"/>
    <col min="5" max="5" width="13.90625" style="67" customWidth="1"/>
    <col min="6" max="16" width="13.36328125" style="67" customWidth="1"/>
    <col min="17" max="17" width="13.6328125" style="9" bestFit="1" customWidth="1"/>
    <col min="18" max="18" width="13.81640625" style="9" bestFit="1" customWidth="1"/>
    <col min="19" max="19" width="14" style="9" bestFit="1" customWidth="1"/>
    <col min="20" max="20" width="8.90625" style="9"/>
    <col min="21" max="21" width="15.453125" style="9" customWidth="1"/>
    <col min="22" max="23" width="13.08984375" style="9" customWidth="1"/>
    <col min="24" max="24" width="4.90625" style="9" customWidth="1"/>
    <col min="25" max="26" width="13.08984375" style="9" customWidth="1"/>
    <col min="27" max="29" width="8.90625" style="9"/>
    <col min="30" max="30" width="22.7265625" style="9" customWidth="1"/>
    <col min="31" max="33" width="8.90625" style="9"/>
    <col min="34" max="34" width="21.6328125" style="9" customWidth="1"/>
    <col min="35" max="16384" width="8.90625" style="9"/>
  </cols>
  <sheetData>
    <row r="1" spans="1:36" ht="35.5">
      <c r="A1" s="60" t="s">
        <v>146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</row>
    <row r="2" spans="1:36">
      <c r="U2" s="40" t="s">
        <v>116</v>
      </c>
      <c r="V2" s="41"/>
      <c r="W2" s="41"/>
      <c r="Y2" s="40" t="s">
        <v>115</v>
      </c>
      <c r="Z2" s="41"/>
      <c r="AA2" s="41"/>
      <c r="AD2" s="41" t="s">
        <v>121</v>
      </c>
      <c r="AE2" s="41"/>
      <c r="AF2" s="41"/>
      <c r="AH2" s="41" t="s">
        <v>137</v>
      </c>
      <c r="AI2" s="41"/>
      <c r="AJ2" s="41"/>
    </row>
    <row r="3" spans="1:36">
      <c r="A3" s="64" t="s">
        <v>12</v>
      </c>
      <c r="B3" s="102" t="s">
        <v>130</v>
      </c>
      <c r="C3" s="103"/>
      <c r="D3" s="104"/>
      <c r="E3" s="103" t="s">
        <v>129</v>
      </c>
      <c r="F3" s="103"/>
      <c r="G3" s="104"/>
      <c r="H3" s="103" t="s">
        <v>128</v>
      </c>
      <c r="I3" s="103"/>
      <c r="J3" s="104"/>
      <c r="K3" s="103" t="s">
        <v>126</v>
      </c>
      <c r="L3" s="103"/>
      <c r="M3" s="104"/>
      <c r="N3" s="103" t="s">
        <v>125</v>
      </c>
      <c r="O3" s="103"/>
      <c r="P3" s="104"/>
      <c r="Q3" s="105" t="s">
        <v>127</v>
      </c>
      <c r="R3" s="105"/>
      <c r="S3" s="106"/>
      <c r="U3" s="9" t="s">
        <v>88</v>
      </c>
      <c r="V3" s="34">
        <v>30</v>
      </c>
      <c r="W3" s="9" t="s">
        <v>33</v>
      </c>
      <c r="Y3" s="9" t="s">
        <v>95</v>
      </c>
      <c r="Z3" s="28">
        <v>100000</v>
      </c>
      <c r="AA3" s="9" t="s">
        <v>34</v>
      </c>
      <c r="AB3" s="10"/>
      <c r="AD3" s="41" t="s">
        <v>116</v>
      </c>
      <c r="AE3" s="41"/>
      <c r="AF3" s="41"/>
      <c r="AH3" s="41" t="s">
        <v>99</v>
      </c>
      <c r="AI3" s="41"/>
      <c r="AJ3" s="41"/>
    </row>
    <row r="4" spans="1:36">
      <c r="A4" s="51" t="s">
        <v>0</v>
      </c>
      <c r="B4" s="68" t="s">
        <v>123</v>
      </c>
      <c r="C4" s="68" t="s">
        <v>124</v>
      </c>
      <c r="D4" s="68" t="s">
        <v>65</v>
      </c>
      <c r="E4" s="68" t="s">
        <v>123</v>
      </c>
      <c r="F4" s="68" t="s">
        <v>124</v>
      </c>
      <c r="G4" s="68" t="s">
        <v>65</v>
      </c>
      <c r="H4" s="68" t="s">
        <v>123</v>
      </c>
      <c r="I4" s="68" t="s">
        <v>124</v>
      </c>
      <c r="J4" s="68" t="s">
        <v>65</v>
      </c>
      <c r="K4" s="68" t="s">
        <v>123</v>
      </c>
      <c r="L4" s="68" t="s">
        <v>124</v>
      </c>
      <c r="M4" s="68" t="s">
        <v>65</v>
      </c>
      <c r="N4" s="68" t="s">
        <v>123</v>
      </c>
      <c r="O4" s="68" t="s">
        <v>124</v>
      </c>
      <c r="P4" s="68" t="s">
        <v>65</v>
      </c>
      <c r="Q4" s="52" t="s">
        <v>13</v>
      </c>
      <c r="R4" s="52" t="s">
        <v>14</v>
      </c>
      <c r="S4" s="52" t="s">
        <v>15</v>
      </c>
      <c r="U4" s="9" t="s">
        <v>63</v>
      </c>
      <c r="V4" s="34">
        <v>20</v>
      </c>
      <c r="W4" s="27" t="s">
        <v>64</v>
      </c>
      <c r="Y4" s="9" t="s">
        <v>96</v>
      </c>
      <c r="Z4" s="26">
        <v>3000</v>
      </c>
      <c r="AA4" s="9" t="s">
        <v>74</v>
      </c>
      <c r="AB4" s="10"/>
      <c r="AD4" s="9" t="s">
        <v>132</v>
      </c>
      <c r="AE4" s="30">
        <v>80</v>
      </c>
      <c r="AF4" s="9" t="s">
        <v>101</v>
      </c>
      <c r="AH4" s="9" t="s">
        <v>138</v>
      </c>
      <c r="AI4" s="70">
        <v>1200</v>
      </c>
      <c r="AJ4" s="9" t="s">
        <v>34</v>
      </c>
    </row>
    <row r="5" spans="1:36">
      <c r="A5" s="49" t="s">
        <v>16</v>
      </c>
      <c r="B5" s="50">
        <f>SUM(B8:B17)</f>
        <v>299500</v>
      </c>
      <c r="C5" s="50">
        <f t="shared" ref="C5:P5" si="0">SUM(C8:C17)</f>
        <v>202246.25</v>
      </c>
      <c r="D5" s="50">
        <f t="shared" si="0"/>
        <v>501746.25</v>
      </c>
      <c r="E5" s="50">
        <f t="shared" si="0"/>
        <v>216500</v>
      </c>
      <c r="F5" s="50">
        <f t="shared" si="0"/>
        <v>201623.75</v>
      </c>
      <c r="G5" s="50">
        <f t="shared" si="0"/>
        <v>418123.75</v>
      </c>
      <c r="H5" s="50">
        <f t="shared" si="0"/>
        <v>216500</v>
      </c>
      <c r="I5" s="50">
        <f t="shared" si="0"/>
        <v>201623.75</v>
      </c>
      <c r="J5" s="50">
        <f t="shared" si="0"/>
        <v>418123.75</v>
      </c>
      <c r="K5" s="50">
        <f t="shared" si="0"/>
        <v>216500</v>
      </c>
      <c r="L5" s="50">
        <f t="shared" si="0"/>
        <v>201623.75</v>
      </c>
      <c r="M5" s="50">
        <f t="shared" si="0"/>
        <v>418123.75</v>
      </c>
      <c r="N5" s="50">
        <f t="shared" si="0"/>
        <v>216500</v>
      </c>
      <c r="O5" s="50">
        <f t="shared" si="0"/>
        <v>201623.75</v>
      </c>
      <c r="P5" s="50">
        <f t="shared" si="0"/>
        <v>418123.75</v>
      </c>
      <c r="Q5" s="50">
        <f>SUM(Q8:Q17)</f>
        <v>515500</v>
      </c>
      <c r="R5" s="50">
        <f>SUM(R8:R17)</f>
        <v>203866.25</v>
      </c>
      <c r="S5" s="50">
        <f>Q5+R5</f>
        <v>719366.25</v>
      </c>
      <c r="U5" s="39" t="s">
        <v>65</v>
      </c>
      <c r="V5" s="46">
        <f>V3*V4</f>
        <v>600</v>
      </c>
      <c r="W5" s="47" t="s">
        <v>66</v>
      </c>
      <c r="X5" s="27"/>
      <c r="Z5" s="10"/>
      <c r="AD5" s="9" t="s">
        <v>133</v>
      </c>
      <c r="AE5" s="30">
        <v>20</v>
      </c>
      <c r="AF5" s="9" t="s">
        <v>64</v>
      </c>
      <c r="AH5" s="9" t="s">
        <v>139</v>
      </c>
      <c r="AI5" s="70">
        <v>3500</v>
      </c>
      <c r="AJ5" s="9" t="s">
        <v>34</v>
      </c>
    </row>
    <row r="6" spans="1:36">
      <c r="A6" s="37" t="s">
        <v>17</v>
      </c>
      <c r="B6" s="65"/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44" t="s">
        <v>0</v>
      </c>
      <c r="R6" s="44" t="s">
        <v>0</v>
      </c>
      <c r="S6" s="44" t="s">
        <v>29</v>
      </c>
      <c r="U6" s="9" t="s">
        <v>78</v>
      </c>
      <c r="V6" s="26">
        <v>70</v>
      </c>
      <c r="W6" s="27" t="s">
        <v>79</v>
      </c>
      <c r="X6" s="27"/>
      <c r="Y6" s="40" t="s">
        <v>99</v>
      </c>
      <c r="Z6" s="41"/>
      <c r="AA6" s="41"/>
      <c r="AE6" s="30"/>
    </row>
    <row r="7" spans="1:36">
      <c r="A7" s="38" t="s">
        <v>131</v>
      </c>
      <c r="B7" s="82">
        <f>AE4*V4*V3</f>
        <v>48000</v>
      </c>
      <c r="C7" s="83"/>
      <c r="D7" s="82">
        <f>B7+C7</f>
        <v>48000</v>
      </c>
      <c r="E7" s="83"/>
      <c r="F7" s="83"/>
      <c r="G7" s="82">
        <f>E7+F7</f>
        <v>0</v>
      </c>
      <c r="H7" s="83"/>
      <c r="I7" s="83"/>
      <c r="J7" s="82">
        <f>H7+I7</f>
        <v>0</v>
      </c>
      <c r="K7" s="83"/>
      <c r="L7" s="83"/>
      <c r="M7" s="82">
        <f>K7+L7</f>
        <v>0</v>
      </c>
      <c r="N7" s="83"/>
      <c r="O7" s="83"/>
      <c r="P7" s="82">
        <f>N7+O7</f>
        <v>0</v>
      </c>
      <c r="Q7" s="84"/>
      <c r="R7" s="84"/>
      <c r="S7" s="84"/>
      <c r="V7" s="26"/>
      <c r="W7" s="27"/>
      <c r="X7" s="27"/>
      <c r="Y7" s="40"/>
      <c r="Z7" s="41"/>
      <c r="AA7" s="41"/>
      <c r="AD7" s="41" t="s">
        <v>134</v>
      </c>
      <c r="AE7" s="41"/>
      <c r="AF7" s="41"/>
    </row>
    <row r="8" spans="1:36">
      <c r="A8" s="38" t="s">
        <v>87</v>
      </c>
      <c r="B8" s="82">
        <f>AE12*V3</f>
        <v>24000</v>
      </c>
      <c r="C8" s="82"/>
      <c r="D8" s="82">
        <f t="shared" ref="D8:D9" si="1">B8+C8</f>
        <v>24000</v>
      </c>
      <c r="E8" s="82">
        <f>AI4*V3</f>
        <v>36000</v>
      </c>
      <c r="F8" s="82"/>
      <c r="G8" s="82">
        <f t="shared" ref="G8:G9" si="2">E8+F8</f>
        <v>36000</v>
      </c>
      <c r="H8" s="82">
        <f>AI4*V3</f>
        <v>36000</v>
      </c>
      <c r="I8" s="82"/>
      <c r="J8" s="82">
        <f t="shared" ref="J8:J9" si="3">H8+I8</f>
        <v>36000</v>
      </c>
      <c r="K8" s="82">
        <f>AI4*V3</f>
        <v>36000</v>
      </c>
      <c r="L8" s="82"/>
      <c r="M8" s="82">
        <f t="shared" ref="M8:M9" si="4">K8+L8</f>
        <v>36000</v>
      </c>
      <c r="N8" s="82">
        <f>AI4*V3</f>
        <v>36000</v>
      </c>
      <c r="O8" s="82"/>
      <c r="P8" s="82">
        <f t="shared" ref="P8:P9" si="5">N8+O8</f>
        <v>36000</v>
      </c>
      <c r="Q8" s="85">
        <f>Z8*V3</f>
        <v>75000</v>
      </c>
      <c r="R8" s="85"/>
      <c r="S8" s="85">
        <f t="shared" ref="S8:S23" si="6">Q8+R8</f>
        <v>75000</v>
      </c>
      <c r="U8" s="9" t="s">
        <v>80</v>
      </c>
      <c r="V8" s="26">
        <v>3.5</v>
      </c>
      <c r="W8" s="27" t="s">
        <v>81</v>
      </c>
      <c r="X8" s="10"/>
      <c r="Y8" s="9" t="s">
        <v>68</v>
      </c>
      <c r="Z8" s="26">
        <v>2500</v>
      </c>
      <c r="AA8" s="9" t="s">
        <v>34</v>
      </c>
      <c r="AD8" s="9" t="s">
        <v>62</v>
      </c>
      <c r="AE8" s="70">
        <v>5000</v>
      </c>
      <c r="AF8" s="9" t="s">
        <v>34</v>
      </c>
    </row>
    <row r="9" spans="1:36">
      <c r="A9" s="38" t="s">
        <v>97</v>
      </c>
      <c r="B9" s="82">
        <f>AE13*V3</f>
        <v>45000</v>
      </c>
      <c r="C9" s="82"/>
      <c r="D9" s="82">
        <f t="shared" si="1"/>
        <v>45000</v>
      </c>
      <c r="E9" s="82">
        <f>AI5*V3</f>
        <v>105000</v>
      </c>
      <c r="F9" s="82"/>
      <c r="G9" s="82">
        <f t="shared" si="2"/>
        <v>105000</v>
      </c>
      <c r="H9" s="82">
        <f>AI5*V3</f>
        <v>105000</v>
      </c>
      <c r="I9" s="82"/>
      <c r="J9" s="82">
        <f t="shared" si="3"/>
        <v>105000</v>
      </c>
      <c r="K9" s="82">
        <f>AI5*V3</f>
        <v>105000</v>
      </c>
      <c r="L9" s="82"/>
      <c r="M9" s="82">
        <f t="shared" si="4"/>
        <v>105000</v>
      </c>
      <c r="N9" s="82">
        <f>AI5*V3</f>
        <v>105000</v>
      </c>
      <c r="O9" s="82"/>
      <c r="P9" s="82">
        <f t="shared" si="5"/>
        <v>105000</v>
      </c>
      <c r="Q9" s="85">
        <f>Z9*V3</f>
        <v>105000</v>
      </c>
      <c r="R9" s="85"/>
      <c r="S9" s="85">
        <f t="shared" si="6"/>
        <v>105000</v>
      </c>
      <c r="U9" s="9" t="s">
        <v>65</v>
      </c>
      <c r="V9" s="63">
        <f>V5*V6*V8</f>
        <v>147000</v>
      </c>
      <c r="W9" s="27" t="s">
        <v>82</v>
      </c>
      <c r="X9" s="10"/>
      <c r="Y9" s="10" t="s">
        <v>69</v>
      </c>
      <c r="Z9" s="26">
        <v>3500</v>
      </c>
      <c r="AA9" s="9" t="s">
        <v>34</v>
      </c>
      <c r="AD9" s="9" t="s">
        <v>67</v>
      </c>
      <c r="AE9" s="70">
        <v>5000</v>
      </c>
      <c r="AF9" s="9" t="s">
        <v>120</v>
      </c>
    </row>
    <row r="10" spans="1:36">
      <c r="A10" s="38" t="s">
        <v>98</v>
      </c>
      <c r="B10" s="82"/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5">
        <f>Z10*V5</f>
        <v>180000</v>
      </c>
      <c r="R10" s="85"/>
      <c r="S10" s="85">
        <f t="shared" si="6"/>
        <v>180000</v>
      </c>
      <c r="V10" s="28"/>
      <c r="W10" s="27"/>
      <c r="X10" s="10"/>
      <c r="Y10" s="10" t="s">
        <v>100</v>
      </c>
      <c r="Z10" s="26">
        <f>2*150</f>
        <v>300</v>
      </c>
      <c r="AA10" s="9" t="s">
        <v>101</v>
      </c>
      <c r="AE10" s="30"/>
    </row>
    <row r="11" spans="1:36">
      <c r="A11" s="37" t="s">
        <v>19</v>
      </c>
      <c r="B11" s="83"/>
      <c r="C11" s="83"/>
      <c r="D11" s="82"/>
      <c r="E11" s="83"/>
      <c r="F11" s="83"/>
      <c r="G11" s="82"/>
      <c r="H11" s="83"/>
      <c r="I11" s="83"/>
      <c r="J11" s="82"/>
      <c r="K11" s="83"/>
      <c r="L11" s="83"/>
      <c r="M11" s="82"/>
      <c r="N11" s="83"/>
      <c r="O11" s="83"/>
      <c r="P11" s="82"/>
      <c r="Q11" s="86" t="s">
        <v>18</v>
      </c>
      <c r="R11" s="86" t="s">
        <v>29</v>
      </c>
      <c r="S11" s="86" t="s">
        <v>29</v>
      </c>
      <c r="V11" s="28"/>
      <c r="W11" s="27"/>
      <c r="X11" s="10"/>
      <c r="Z11" s="10"/>
      <c r="AD11" s="41" t="s">
        <v>99</v>
      </c>
      <c r="AE11" s="41"/>
      <c r="AF11" s="41"/>
    </row>
    <row r="12" spans="1:36">
      <c r="A12" s="38" t="s">
        <v>20</v>
      </c>
      <c r="B12" s="82"/>
      <c r="C12" s="82">
        <f>$V31*$V32</f>
        <v>200000</v>
      </c>
      <c r="D12" s="82">
        <f>B12+C12</f>
        <v>200000</v>
      </c>
      <c r="E12" s="82"/>
      <c r="F12" s="82">
        <f>$V31*$V32</f>
        <v>200000</v>
      </c>
      <c r="G12" s="82">
        <f>E12+F12</f>
        <v>200000</v>
      </c>
      <c r="H12" s="82"/>
      <c r="I12" s="82">
        <f>$V31*$V32</f>
        <v>200000</v>
      </c>
      <c r="J12" s="82">
        <f>H12+I12</f>
        <v>200000</v>
      </c>
      <c r="K12" s="82"/>
      <c r="L12" s="82">
        <f>$V31*$V32</f>
        <v>200000</v>
      </c>
      <c r="M12" s="82">
        <f>K12+L12</f>
        <v>200000</v>
      </c>
      <c r="N12" s="82"/>
      <c r="O12" s="82">
        <f>$V31*$V32</f>
        <v>200000</v>
      </c>
      <c r="P12" s="82">
        <f>N12+O12</f>
        <v>200000</v>
      </c>
      <c r="Q12" s="85"/>
      <c r="R12" s="85">
        <f>V31*V32</f>
        <v>200000</v>
      </c>
      <c r="S12" s="85">
        <f t="shared" si="6"/>
        <v>200000</v>
      </c>
      <c r="U12" s="42" t="s">
        <v>89</v>
      </c>
      <c r="V12" s="43"/>
      <c r="W12" s="43"/>
      <c r="X12" s="10"/>
      <c r="Y12" s="40" t="s">
        <v>103</v>
      </c>
      <c r="Z12" s="43"/>
      <c r="AA12" s="41"/>
      <c r="AD12" s="9" t="s">
        <v>135</v>
      </c>
      <c r="AE12" s="30">
        <v>800</v>
      </c>
      <c r="AF12" s="9" t="s">
        <v>34</v>
      </c>
    </row>
    <row r="13" spans="1:36">
      <c r="A13" s="38" t="s">
        <v>114</v>
      </c>
      <c r="B13" s="82">
        <f>AE8*V3+AE9</f>
        <v>155000</v>
      </c>
      <c r="C13" s="82"/>
      <c r="D13" s="82">
        <f t="shared" ref="D13:D17" si="7">B13+C13</f>
        <v>155000</v>
      </c>
      <c r="E13" s="82"/>
      <c r="F13" s="82"/>
      <c r="G13" s="82">
        <f t="shared" ref="G13:G17" si="8">E13+F13</f>
        <v>0</v>
      </c>
      <c r="H13" s="82"/>
      <c r="I13" s="82"/>
      <c r="J13" s="82">
        <f t="shared" ref="J13:J17" si="9">H13+I13</f>
        <v>0</v>
      </c>
      <c r="K13" s="82"/>
      <c r="L13" s="82"/>
      <c r="M13" s="82">
        <f t="shared" ref="M13:M17" si="10">K13+L13</f>
        <v>0</v>
      </c>
      <c r="N13" s="82"/>
      <c r="O13" s="82"/>
      <c r="P13" s="82">
        <f t="shared" ref="P13:P17" si="11">N13+O13</f>
        <v>0</v>
      </c>
      <c r="Q13" s="85">
        <f>V26*V27*V25+V20</f>
        <v>50000</v>
      </c>
      <c r="R13" s="85"/>
      <c r="S13" s="85">
        <f t="shared" si="6"/>
        <v>50000</v>
      </c>
      <c r="U13" s="10" t="s">
        <v>90</v>
      </c>
      <c r="V13" s="26"/>
      <c r="W13" s="27" t="s">
        <v>83</v>
      </c>
      <c r="Y13" s="9" t="s">
        <v>104</v>
      </c>
      <c r="Z13" s="26">
        <v>1000</v>
      </c>
      <c r="AA13" s="9" t="s">
        <v>34</v>
      </c>
      <c r="AD13" s="9" t="s">
        <v>136</v>
      </c>
      <c r="AE13" s="70">
        <v>1500</v>
      </c>
      <c r="AF13" s="9" t="s">
        <v>34</v>
      </c>
    </row>
    <row r="14" spans="1:36">
      <c r="A14" s="38" t="s">
        <v>102</v>
      </c>
      <c r="B14" s="82"/>
      <c r="C14" s="82"/>
      <c r="D14" s="82">
        <f t="shared" si="7"/>
        <v>0</v>
      </c>
      <c r="E14" s="82"/>
      <c r="F14" s="82"/>
      <c r="G14" s="82">
        <f t="shared" si="8"/>
        <v>0</v>
      </c>
      <c r="H14" s="82"/>
      <c r="I14" s="82"/>
      <c r="J14" s="82">
        <f t="shared" si="9"/>
        <v>0</v>
      </c>
      <c r="K14" s="82"/>
      <c r="L14" s="82"/>
      <c r="M14" s="82">
        <f t="shared" si="10"/>
        <v>0</v>
      </c>
      <c r="N14" s="82"/>
      <c r="O14" s="82"/>
      <c r="P14" s="82">
        <f t="shared" si="11"/>
        <v>0</v>
      </c>
      <c r="Q14" s="85">
        <f>Z13*V3</f>
        <v>30000</v>
      </c>
      <c r="R14" s="85"/>
      <c r="S14" s="85">
        <f t="shared" si="6"/>
        <v>30000</v>
      </c>
      <c r="U14" s="10" t="s">
        <v>91</v>
      </c>
      <c r="V14" s="26"/>
      <c r="W14" s="27" t="s">
        <v>83</v>
      </c>
      <c r="Y14" s="9" t="s">
        <v>70</v>
      </c>
      <c r="Z14" s="26">
        <v>50000</v>
      </c>
      <c r="AA14" s="9" t="s">
        <v>74</v>
      </c>
    </row>
    <row r="15" spans="1:36">
      <c r="A15" s="38" t="s">
        <v>106</v>
      </c>
      <c r="B15" s="82">
        <v>50000</v>
      </c>
      <c r="C15" s="82"/>
      <c r="D15" s="82">
        <f t="shared" si="7"/>
        <v>50000</v>
      </c>
      <c r="E15" s="82">
        <v>50000</v>
      </c>
      <c r="F15" s="82"/>
      <c r="G15" s="82">
        <f t="shared" si="8"/>
        <v>50000</v>
      </c>
      <c r="H15" s="82">
        <v>50000</v>
      </c>
      <c r="I15" s="82"/>
      <c r="J15" s="82">
        <f t="shared" si="9"/>
        <v>50000</v>
      </c>
      <c r="K15" s="82">
        <v>50000</v>
      </c>
      <c r="L15" s="82"/>
      <c r="M15" s="82">
        <f t="shared" si="10"/>
        <v>50000</v>
      </c>
      <c r="N15" s="82">
        <v>50000</v>
      </c>
      <c r="O15" s="82"/>
      <c r="P15" s="82">
        <f t="shared" si="11"/>
        <v>50000</v>
      </c>
      <c r="Q15" s="85">
        <f>Z14</f>
        <v>50000</v>
      </c>
      <c r="R15" s="85"/>
      <c r="S15" s="85">
        <f t="shared" si="6"/>
        <v>50000</v>
      </c>
      <c r="U15" s="10" t="s">
        <v>92</v>
      </c>
      <c r="V15" s="26"/>
      <c r="W15" s="27" t="s">
        <v>83</v>
      </c>
      <c r="Z15" s="26"/>
    </row>
    <row r="16" spans="1:36">
      <c r="A16" s="38" t="s">
        <v>21</v>
      </c>
      <c r="B16" s="82">
        <f>การลงทุนและค่าเสื่อม!N15</f>
        <v>25500</v>
      </c>
      <c r="C16" s="82"/>
      <c r="D16" s="82">
        <f t="shared" si="7"/>
        <v>25500</v>
      </c>
      <c r="E16" s="82">
        <f>การลงทุนและค่าเสื่อม!N15</f>
        <v>25500</v>
      </c>
      <c r="F16" s="82"/>
      <c r="G16" s="82">
        <f t="shared" si="8"/>
        <v>25500</v>
      </c>
      <c r="H16" s="82">
        <f>การลงทุนและค่าเสื่อม!N15</f>
        <v>25500</v>
      </c>
      <c r="I16" s="82"/>
      <c r="J16" s="82">
        <f t="shared" si="9"/>
        <v>25500</v>
      </c>
      <c r="K16" s="82">
        <f>การลงทุนและค่าเสื่อม!N15</f>
        <v>25500</v>
      </c>
      <c r="L16" s="82"/>
      <c r="M16" s="82">
        <f t="shared" si="10"/>
        <v>25500</v>
      </c>
      <c r="N16" s="82">
        <f>การลงทุนและค่าเสื่อม!N15</f>
        <v>25500</v>
      </c>
      <c r="O16" s="82"/>
      <c r="P16" s="82">
        <f t="shared" si="11"/>
        <v>25500</v>
      </c>
      <c r="Q16" s="85">
        <f>การลงทุนและค่าเสื่อม!N15</f>
        <v>25500</v>
      </c>
      <c r="R16" s="85"/>
      <c r="S16" s="85">
        <f t="shared" si="6"/>
        <v>25500</v>
      </c>
      <c r="U16" s="10" t="s">
        <v>93</v>
      </c>
      <c r="V16" s="26"/>
      <c r="W16" s="27" t="s">
        <v>83</v>
      </c>
    </row>
    <row r="17" spans="1:27">
      <c r="A17" s="38" t="s">
        <v>22</v>
      </c>
      <c r="B17" s="82"/>
      <c r="C17" s="85">
        <f>B5*$Z20</f>
        <v>2246.25</v>
      </c>
      <c r="D17" s="82">
        <f t="shared" si="7"/>
        <v>2246.25</v>
      </c>
      <c r="E17" s="82"/>
      <c r="F17" s="85">
        <f>E5*$Z20</f>
        <v>1623.75</v>
      </c>
      <c r="G17" s="82">
        <f t="shared" si="8"/>
        <v>1623.75</v>
      </c>
      <c r="H17" s="82"/>
      <c r="I17" s="85">
        <f>H5*$Z20</f>
        <v>1623.75</v>
      </c>
      <c r="J17" s="82">
        <f t="shared" si="9"/>
        <v>1623.75</v>
      </c>
      <c r="K17" s="82"/>
      <c r="L17" s="85">
        <f>K5*$Z20</f>
        <v>1623.75</v>
      </c>
      <c r="M17" s="82">
        <f t="shared" si="10"/>
        <v>1623.75</v>
      </c>
      <c r="N17" s="82"/>
      <c r="O17" s="85">
        <f>N5*$Z20</f>
        <v>1623.75</v>
      </c>
      <c r="P17" s="82">
        <f t="shared" si="11"/>
        <v>1623.75</v>
      </c>
      <c r="Q17" s="85"/>
      <c r="R17" s="85">
        <f>Q5*$Z20</f>
        <v>3866.25</v>
      </c>
      <c r="S17" s="85">
        <f t="shared" si="6"/>
        <v>3866.25</v>
      </c>
      <c r="U17" s="46" t="s">
        <v>94</v>
      </c>
      <c r="V17" s="48">
        <v>125</v>
      </c>
      <c r="W17" s="47" t="s">
        <v>83</v>
      </c>
    </row>
    <row r="18" spans="1:27">
      <c r="A18" s="49" t="s">
        <v>23</v>
      </c>
      <c r="B18" s="50">
        <f t="shared" ref="B18" si="12">SUM(B19:B21)</f>
        <v>3000</v>
      </c>
      <c r="C18" s="50">
        <f>SUM(C19:C21)</f>
        <v>3149316.0166666666</v>
      </c>
      <c r="D18" s="50">
        <f t="shared" ref="D18" si="13">SUM(D19:D21)</f>
        <v>3038489.35</v>
      </c>
      <c r="E18" s="50">
        <f t="shared" ref="E18" si="14">SUM(E19:E21)</f>
        <v>3000</v>
      </c>
      <c r="F18" s="50">
        <f t="shared" ref="F18:G18" si="15">SUM(F19:F21)</f>
        <v>3149316.0166666666</v>
      </c>
      <c r="G18" s="50">
        <f t="shared" si="15"/>
        <v>3038489.35</v>
      </c>
      <c r="H18" s="50">
        <f t="shared" ref="H18" si="16">SUM(H19:H21)</f>
        <v>3000</v>
      </c>
      <c r="I18" s="50">
        <f t="shared" ref="I18:J18" si="17">SUM(I19:I21)</f>
        <v>3149316.0166666666</v>
      </c>
      <c r="J18" s="50">
        <f t="shared" si="17"/>
        <v>3038489.35</v>
      </c>
      <c r="K18" s="50">
        <f t="shared" ref="K18" si="18">SUM(K19:K21)</f>
        <v>3000</v>
      </c>
      <c r="L18" s="50">
        <f t="shared" ref="L18:M18" si="19">SUM(L19:L21)</f>
        <v>3149316.0166666666</v>
      </c>
      <c r="M18" s="50">
        <f t="shared" si="19"/>
        <v>3038489.35</v>
      </c>
      <c r="N18" s="50">
        <f t="shared" ref="N18" si="20">SUM(N19:N21)</f>
        <v>3000</v>
      </c>
      <c r="O18" s="50">
        <f t="shared" ref="O18:P18" si="21">SUM(O19:O21)</f>
        <v>3149316.0166666666</v>
      </c>
      <c r="P18" s="50">
        <f t="shared" si="21"/>
        <v>3038489.35</v>
      </c>
      <c r="Q18" s="50">
        <f>SUM(Q19:Q22)</f>
        <v>3000</v>
      </c>
      <c r="R18" s="50">
        <f t="shared" ref="R18:S18" si="22">SUM(R19:R22)</f>
        <v>5247807.1126666665</v>
      </c>
      <c r="S18" s="50">
        <f t="shared" si="22"/>
        <v>5250807.1126666665</v>
      </c>
    </row>
    <row r="19" spans="1:27">
      <c r="A19" s="38" t="s">
        <v>24</v>
      </c>
      <c r="B19" s="45">
        <f>$Z4</f>
        <v>3000</v>
      </c>
      <c r="C19" s="45">
        <f>$Z3*$V3</f>
        <v>3000000</v>
      </c>
      <c r="D19" s="45">
        <f>$Q19+$R19</f>
        <v>3003000</v>
      </c>
      <c r="E19" s="45">
        <f>$Z4</f>
        <v>3000</v>
      </c>
      <c r="F19" s="45">
        <f>$Z3*$V3</f>
        <v>3000000</v>
      </c>
      <c r="G19" s="45">
        <f>$Q19+$R19</f>
        <v>3003000</v>
      </c>
      <c r="H19" s="45">
        <f>$Z4</f>
        <v>3000</v>
      </c>
      <c r="I19" s="45">
        <f>$Z3*$V3</f>
        <v>3000000</v>
      </c>
      <c r="J19" s="45">
        <f>$Q19+$R19</f>
        <v>3003000</v>
      </c>
      <c r="K19" s="45">
        <f>$Z4</f>
        <v>3000</v>
      </c>
      <c r="L19" s="45">
        <f>$Z3*$V3</f>
        <v>3000000</v>
      </c>
      <c r="M19" s="45">
        <f>$Q19+$R19</f>
        <v>3003000</v>
      </c>
      <c r="N19" s="45">
        <f>$Z4</f>
        <v>3000</v>
      </c>
      <c r="O19" s="45">
        <f>$Z3*$V3</f>
        <v>3000000</v>
      </c>
      <c r="P19" s="45">
        <f>$Q19+$R19</f>
        <v>3003000</v>
      </c>
      <c r="Q19" s="45">
        <f>$Z4</f>
        <v>3000</v>
      </c>
      <c r="R19" s="45">
        <f>$Z3*$V3</f>
        <v>3000000</v>
      </c>
      <c r="S19" s="45">
        <f>$Q19+$R19</f>
        <v>3003000</v>
      </c>
      <c r="U19" s="42" t="s">
        <v>113</v>
      </c>
      <c r="V19" s="41"/>
      <c r="W19" s="41"/>
      <c r="Y19" s="40" t="s">
        <v>107</v>
      </c>
      <c r="Z19" s="43"/>
      <c r="AA19" s="41"/>
    </row>
    <row r="20" spans="1:27">
      <c r="A20" s="38" t="s">
        <v>25</v>
      </c>
      <c r="B20" s="69"/>
      <c r="C20" s="45">
        <f>การลงทุนและค่าเสื่อม!$I15</f>
        <v>113826.66666666667</v>
      </c>
      <c r="D20" s="69"/>
      <c r="E20" s="69"/>
      <c r="F20" s="45">
        <f>การลงทุนและค่าเสื่อม!$I15</f>
        <v>113826.66666666667</v>
      </c>
      <c r="G20" s="69"/>
      <c r="H20" s="69"/>
      <c r="I20" s="45">
        <f>การลงทุนและค่าเสื่อม!$I15</f>
        <v>113826.66666666667</v>
      </c>
      <c r="J20" s="69"/>
      <c r="K20" s="69"/>
      <c r="L20" s="45">
        <f>การลงทุนและค่าเสื่อม!$I15</f>
        <v>113826.66666666667</v>
      </c>
      <c r="M20" s="69"/>
      <c r="N20" s="69"/>
      <c r="O20" s="45">
        <f>การลงทุนและค่าเสื่อม!$I15</f>
        <v>113826.66666666667</v>
      </c>
      <c r="P20" s="69"/>
      <c r="Q20" s="45">
        <v>0</v>
      </c>
      <c r="R20" s="45">
        <f>การลงทุนและค่าเสื่อม!$I15</f>
        <v>113826.66666666667</v>
      </c>
      <c r="S20" s="45">
        <f t="shared" si="6"/>
        <v>113826.66666666667</v>
      </c>
      <c r="U20" s="31" t="s">
        <v>36</v>
      </c>
      <c r="V20" s="28">
        <v>20000</v>
      </c>
      <c r="W20" s="10" t="s">
        <v>37</v>
      </c>
      <c r="X20" s="27"/>
      <c r="Y20" s="10" t="s">
        <v>108</v>
      </c>
      <c r="Z20" s="35">
        <v>7.4999999999999997E-3</v>
      </c>
      <c r="AA20" s="9" t="s">
        <v>86</v>
      </c>
    </row>
    <row r="21" spans="1:27">
      <c r="A21" s="38" t="s">
        <v>26</v>
      </c>
      <c r="B21" s="45">
        <v>0</v>
      </c>
      <c r="C21" s="45">
        <f>การลงทุนและค่าเสื่อม!$L15</f>
        <v>35489.35</v>
      </c>
      <c r="D21" s="45">
        <f t="shared" ref="D21:D22" si="23">B21+C21</f>
        <v>35489.35</v>
      </c>
      <c r="E21" s="45">
        <v>0</v>
      </c>
      <c r="F21" s="45">
        <f>การลงทุนและค่าเสื่อม!$L15</f>
        <v>35489.35</v>
      </c>
      <c r="G21" s="45">
        <f t="shared" ref="G21:G22" si="24">E21+F21</f>
        <v>35489.35</v>
      </c>
      <c r="H21" s="45">
        <v>0</v>
      </c>
      <c r="I21" s="45">
        <f>การลงทุนและค่าเสื่อม!$L15</f>
        <v>35489.35</v>
      </c>
      <c r="J21" s="45">
        <f t="shared" ref="J21:J22" si="25">H21+I21</f>
        <v>35489.35</v>
      </c>
      <c r="K21" s="45">
        <v>0</v>
      </c>
      <c r="L21" s="45">
        <f>การลงทุนและค่าเสื่อม!$L15</f>
        <v>35489.35</v>
      </c>
      <c r="M21" s="45">
        <f t="shared" ref="M21:M22" si="26">K21+L21</f>
        <v>35489.35</v>
      </c>
      <c r="N21" s="45">
        <v>0</v>
      </c>
      <c r="O21" s="45">
        <f>การลงทุนและค่าเสื่อม!$L15</f>
        <v>35489.35</v>
      </c>
      <c r="P21" s="45">
        <f t="shared" ref="P21:P22" si="27">N21+O21</f>
        <v>35489.35</v>
      </c>
      <c r="Q21" s="45">
        <v>0</v>
      </c>
      <c r="R21" s="45">
        <f>การลงทุนและค่าเสื่อม!$L15</f>
        <v>35489.35</v>
      </c>
      <c r="S21" s="45">
        <f>Q21+R21</f>
        <v>35489.35</v>
      </c>
      <c r="U21" s="10" t="s">
        <v>84</v>
      </c>
      <c r="V21" s="32">
        <v>6.5000000000000002E-2</v>
      </c>
      <c r="W21" s="10" t="s">
        <v>86</v>
      </c>
      <c r="Y21" s="10" t="s">
        <v>109</v>
      </c>
      <c r="Z21" s="36">
        <v>6.5000000000000002E-2</v>
      </c>
      <c r="AA21" s="9" t="s">
        <v>86</v>
      </c>
    </row>
    <row r="22" spans="1:27" ht="20" customHeight="1">
      <c r="A22" s="38" t="s">
        <v>145</v>
      </c>
      <c r="B22" s="45"/>
      <c r="C22" s="45"/>
      <c r="D22" s="69">
        <f t="shared" si="23"/>
        <v>0</v>
      </c>
      <c r="E22" s="45"/>
      <c r="F22" s="45"/>
      <c r="G22" s="69">
        <f t="shared" si="24"/>
        <v>0</v>
      </c>
      <c r="H22" s="45"/>
      <c r="I22" s="45"/>
      <c r="J22" s="69">
        <f t="shared" si="25"/>
        <v>0</v>
      </c>
      <c r="K22" s="45"/>
      <c r="L22" s="45"/>
      <c r="M22" s="69">
        <f t="shared" si="26"/>
        <v>0</v>
      </c>
      <c r="N22" s="45"/>
      <c r="O22" s="45"/>
      <c r="P22" s="69">
        <f t="shared" si="27"/>
        <v>0</v>
      </c>
      <c r="Q22" s="45"/>
      <c r="R22" s="45">
        <f>(D23+G23+J23+M23+P23)*0.117</f>
        <v>2098491.0959999999</v>
      </c>
      <c r="S22" s="69">
        <f t="shared" ref="S22" si="28">Q22+R22</f>
        <v>2098491.0959999999</v>
      </c>
      <c r="U22" s="10"/>
      <c r="V22" s="32"/>
      <c r="W22" s="10"/>
      <c r="Y22" s="10"/>
      <c r="Z22" s="36"/>
    </row>
    <row r="23" spans="1:27">
      <c r="A23" s="80" t="s">
        <v>27</v>
      </c>
      <c r="B23" s="81">
        <f t="shared" ref="B23:C23" si="29">B5+B18</f>
        <v>302500</v>
      </c>
      <c r="C23" s="81">
        <f t="shared" si="29"/>
        <v>3351562.2666666666</v>
      </c>
      <c r="D23" s="81">
        <f t="shared" ref="D23" si="30">B23+C23</f>
        <v>3654062.2666666666</v>
      </c>
      <c r="E23" s="81">
        <f t="shared" ref="E23:F23" si="31">E5+E18</f>
        <v>219500</v>
      </c>
      <c r="F23" s="81">
        <f t="shared" si="31"/>
        <v>3350939.7666666666</v>
      </c>
      <c r="G23" s="81">
        <f t="shared" ref="G23" si="32">E23+F23</f>
        <v>3570439.7666666666</v>
      </c>
      <c r="H23" s="81">
        <f t="shared" ref="H23:I23" si="33">H5+H18</f>
        <v>219500</v>
      </c>
      <c r="I23" s="81">
        <f t="shared" si="33"/>
        <v>3350939.7666666666</v>
      </c>
      <c r="J23" s="81">
        <f t="shared" ref="J23" si="34">H23+I23</f>
        <v>3570439.7666666666</v>
      </c>
      <c r="K23" s="81">
        <f t="shared" ref="K23:L23" si="35">K5+K18</f>
        <v>219500</v>
      </c>
      <c r="L23" s="81">
        <f t="shared" si="35"/>
        <v>3350939.7666666666</v>
      </c>
      <c r="M23" s="81">
        <f t="shared" ref="M23" si="36">K23+L23</f>
        <v>3570439.7666666666</v>
      </c>
      <c r="N23" s="81">
        <f t="shared" ref="N23:O23" si="37">N5+N18</f>
        <v>219500</v>
      </c>
      <c r="O23" s="81">
        <f t="shared" si="37"/>
        <v>3350939.7666666666</v>
      </c>
      <c r="P23" s="81">
        <f t="shared" ref="P23" si="38">N23+O23</f>
        <v>3570439.7666666666</v>
      </c>
      <c r="Q23" s="81">
        <f>Q5+Q18</f>
        <v>518500</v>
      </c>
      <c r="R23" s="81">
        <f>R5+R18</f>
        <v>5451673.3626666665</v>
      </c>
      <c r="S23" s="81">
        <f t="shared" si="6"/>
        <v>5970173.3626666665</v>
      </c>
      <c r="U23" s="10" t="s">
        <v>85</v>
      </c>
      <c r="V23" s="32"/>
      <c r="W23" s="10" t="s">
        <v>86</v>
      </c>
      <c r="Z23" s="10"/>
    </row>
    <row r="24" spans="1:27">
      <c r="A24" s="78" t="s">
        <v>157</v>
      </c>
      <c r="B24" s="79">
        <f>B23/30</f>
        <v>10083.333333333334</v>
      </c>
      <c r="C24" s="79">
        <f>C23/30</f>
        <v>111718.74222222222</v>
      </c>
      <c r="D24" s="79">
        <f t="shared" ref="D24:S24" si="39">D23/30</f>
        <v>121802.07555555555</v>
      </c>
      <c r="E24" s="79">
        <f t="shared" si="39"/>
        <v>7316.666666666667</v>
      </c>
      <c r="F24" s="79">
        <f t="shared" si="39"/>
        <v>111697.99222222222</v>
      </c>
      <c r="G24" s="79">
        <f t="shared" si="39"/>
        <v>119014.65888888888</v>
      </c>
      <c r="H24" s="79">
        <f t="shared" si="39"/>
        <v>7316.666666666667</v>
      </c>
      <c r="I24" s="79">
        <f t="shared" si="39"/>
        <v>111697.99222222222</v>
      </c>
      <c r="J24" s="79">
        <f t="shared" si="39"/>
        <v>119014.65888888888</v>
      </c>
      <c r="K24" s="79">
        <f t="shared" si="39"/>
        <v>7316.666666666667</v>
      </c>
      <c r="L24" s="79">
        <f t="shared" si="39"/>
        <v>111697.99222222222</v>
      </c>
      <c r="M24" s="79">
        <f t="shared" si="39"/>
        <v>119014.65888888888</v>
      </c>
      <c r="N24" s="79">
        <f t="shared" si="39"/>
        <v>7316.666666666667</v>
      </c>
      <c r="O24" s="79">
        <f t="shared" si="39"/>
        <v>111697.99222222222</v>
      </c>
      <c r="P24" s="79">
        <f t="shared" si="39"/>
        <v>119014.65888888888</v>
      </c>
      <c r="Q24" s="79">
        <f t="shared" si="39"/>
        <v>17283.333333333332</v>
      </c>
      <c r="R24" s="79">
        <f t="shared" si="39"/>
        <v>181722.44542222223</v>
      </c>
      <c r="S24" s="79">
        <f t="shared" si="39"/>
        <v>199005.77875555554</v>
      </c>
      <c r="U24" s="29" t="s">
        <v>75</v>
      </c>
      <c r="V24" s="10"/>
      <c r="Z24" s="10"/>
    </row>
    <row r="25" spans="1:27">
      <c r="A25" s="78" t="s">
        <v>158</v>
      </c>
      <c r="B25" s="79">
        <f>B23/$E32</f>
        <v>2.0578231292517009</v>
      </c>
      <c r="C25" s="79">
        <f t="shared" ref="C25:S25" si="40">C23/$E32</f>
        <v>22.799743310657597</v>
      </c>
      <c r="D25" s="79">
        <f t="shared" si="40"/>
        <v>24.857566439909295</v>
      </c>
      <c r="E25" s="79">
        <f t="shared" si="40"/>
        <v>1.4931972789115646</v>
      </c>
      <c r="F25" s="79">
        <f t="shared" si="40"/>
        <v>22.795508616780044</v>
      </c>
      <c r="G25" s="79">
        <f t="shared" si="40"/>
        <v>24.28870589569161</v>
      </c>
      <c r="H25" s="79">
        <f t="shared" si="40"/>
        <v>1.4931972789115646</v>
      </c>
      <c r="I25" s="79">
        <f t="shared" si="40"/>
        <v>22.795508616780044</v>
      </c>
      <c r="J25" s="79">
        <f t="shared" si="40"/>
        <v>24.28870589569161</v>
      </c>
      <c r="K25" s="79">
        <f t="shared" si="40"/>
        <v>1.4931972789115646</v>
      </c>
      <c r="L25" s="79">
        <f t="shared" si="40"/>
        <v>22.795508616780044</v>
      </c>
      <c r="M25" s="79">
        <f t="shared" si="40"/>
        <v>24.28870589569161</v>
      </c>
      <c r="N25" s="79">
        <f t="shared" si="40"/>
        <v>1.4931972789115646</v>
      </c>
      <c r="O25" s="79">
        <f t="shared" si="40"/>
        <v>22.795508616780044</v>
      </c>
      <c r="P25" s="79">
        <f t="shared" si="40"/>
        <v>24.28870589569161</v>
      </c>
      <c r="Q25" s="79">
        <f t="shared" si="40"/>
        <v>3.5272108843537415</v>
      </c>
      <c r="R25" s="79">
        <f t="shared" si="40"/>
        <v>37.086213351473923</v>
      </c>
      <c r="S25" s="79">
        <f t="shared" si="40"/>
        <v>40.613424235827665</v>
      </c>
      <c r="U25" s="9" t="s">
        <v>122</v>
      </c>
      <c r="V25" s="34">
        <v>5</v>
      </c>
      <c r="W25" s="9" t="s">
        <v>76</v>
      </c>
      <c r="Z25" s="10"/>
    </row>
    <row r="26" spans="1:27">
      <c r="A26" s="71"/>
      <c r="B26" s="72"/>
      <c r="C26" s="72"/>
      <c r="D26" s="72"/>
      <c r="E26" s="72"/>
      <c r="F26" s="72"/>
      <c r="G26" s="72"/>
      <c r="H26" s="72"/>
      <c r="I26" s="72"/>
      <c r="J26" s="72"/>
      <c r="K26" s="72"/>
      <c r="L26" s="72"/>
      <c r="M26" s="72"/>
      <c r="N26" s="72"/>
      <c r="O26" s="72"/>
      <c r="P26" s="72"/>
      <c r="Q26" s="72"/>
      <c r="R26" s="72"/>
      <c r="S26" s="72"/>
      <c r="U26" s="9" t="s">
        <v>77</v>
      </c>
      <c r="V26" s="26">
        <v>15</v>
      </c>
      <c r="W26" s="9" t="s">
        <v>38</v>
      </c>
      <c r="Z26" s="10"/>
    </row>
    <row r="27" spans="1:27">
      <c r="A27" s="96" t="s">
        <v>152</v>
      </c>
      <c r="B27" s="97"/>
      <c r="C27" s="97"/>
      <c r="D27" s="98"/>
      <c r="E27" s="73" t="s">
        <v>30</v>
      </c>
      <c r="U27" s="9" t="s">
        <v>39</v>
      </c>
      <c r="V27" s="26">
        <v>400</v>
      </c>
      <c r="W27" s="9" t="s">
        <v>73</v>
      </c>
      <c r="Z27" s="10"/>
    </row>
    <row r="28" spans="1:27">
      <c r="A28" s="99" t="s">
        <v>151</v>
      </c>
      <c r="B28" s="100"/>
      <c r="C28" s="100"/>
      <c r="D28" s="101"/>
      <c r="E28" s="77">
        <v>30</v>
      </c>
      <c r="U28" s="29" t="s">
        <v>35</v>
      </c>
      <c r="V28" s="10"/>
    </row>
    <row r="29" spans="1:27">
      <c r="A29" s="93" t="s">
        <v>140</v>
      </c>
      <c r="B29" s="94"/>
      <c r="C29" s="94"/>
      <c r="D29" s="95"/>
      <c r="E29" s="74">
        <v>20</v>
      </c>
      <c r="U29" s="9" t="s">
        <v>30</v>
      </c>
      <c r="V29" s="26">
        <v>2</v>
      </c>
      <c r="W29" s="9" t="s">
        <v>110</v>
      </c>
    </row>
    <row r="30" spans="1:27">
      <c r="A30" s="93" t="s">
        <v>141</v>
      </c>
      <c r="B30" s="94"/>
      <c r="C30" s="94"/>
      <c r="D30" s="95"/>
      <c r="E30" s="74">
        <v>70</v>
      </c>
      <c r="U30" s="9" t="s">
        <v>111</v>
      </c>
      <c r="V30" s="26">
        <v>250</v>
      </c>
      <c r="W30" s="9" t="s">
        <v>112</v>
      </c>
    </row>
    <row r="31" spans="1:27">
      <c r="A31" s="93" t="s">
        <v>142</v>
      </c>
      <c r="B31" s="94"/>
      <c r="C31" s="94"/>
      <c r="D31" s="95"/>
      <c r="E31" s="74">
        <v>3.5</v>
      </c>
      <c r="U31" s="9" t="s">
        <v>71</v>
      </c>
      <c r="V31" s="26">
        <f>V29*V30</f>
        <v>500</v>
      </c>
      <c r="W31" s="9" t="s">
        <v>71</v>
      </c>
    </row>
    <row r="32" spans="1:27">
      <c r="A32" s="93" t="s">
        <v>143</v>
      </c>
      <c r="B32" s="94"/>
      <c r="C32" s="94"/>
      <c r="D32" s="95"/>
      <c r="E32" s="74">
        <f>E28*E29*E30*E31</f>
        <v>147000</v>
      </c>
      <c r="U32" s="9" t="s">
        <v>72</v>
      </c>
      <c r="V32" s="26">
        <v>400</v>
      </c>
      <c r="W32" s="9" t="s">
        <v>73</v>
      </c>
    </row>
    <row r="33" spans="1:26">
      <c r="A33" s="93" t="s">
        <v>144</v>
      </c>
      <c r="B33" s="94"/>
      <c r="C33" s="94"/>
      <c r="D33" s="95"/>
      <c r="E33" s="74">
        <v>125</v>
      </c>
      <c r="W33" s="10"/>
      <c r="X33" s="10"/>
      <c r="Y33" s="10"/>
      <c r="Z33" s="10"/>
    </row>
    <row r="34" spans="1:26">
      <c r="A34" s="93" t="s">
        <v>154</v>
      </c>
      <c r="B34" s="94"/>
      <c r="C34" s="94"/>
      <c r="D34" s="95"/>
      <c r="E34" s="74">
        <f>E33*E32</f>
        <v>18375000</v>
      </c>
      <c r="X34" s="10"/>
    </row>
    <row r="35" spans="1:26">
      <c r="A35" s="75" t="s">
        <v>147</v>
      </c>
      <c r="B35" s="76" t="s">
        <v>105</v>
      </c>
      <c r="C35" s="76" t="s">
        <v>34</v>
      </c>
      <c r="D35" s="76" t="s">
        <v>101</v>
      </c>
      <c r="E35" s="76" t="s">
        <v>150</v>
      </c>
      <c r="V35" s="10"/>
      <c r="W35" s="10"/>
      <c r="X35" s="10"/>
      <c r="Y35" s="10"/>
    </row>
    <row r="36" spans="1:26">
      <c r="A36" s="38" t="s">
        <v>148</v>
      </c>
      <c r="B36" s="69">
        <f>E34</f>
        <v>18375000</v>
      </c>
      <c r="C36" s="69">
        <f>B36/E28</f>
        <v>612500</v>
      </c>
      <c r="D36" s="69">
        <f>C36/E29</f>
        <v>30625</v>
      </c>
      <c r="E36" s="69">
        <f>D36/E30</f>
        <v>437.5</v>
      </c>
      <c r="V36" s="10"/>
      <c r="W36" s="10"/>
      <c r="Y36" s="10"/>
    </row>
    <row r="37" spans="1:26">
      <c r="A37" s="38" t="s">
        <v>149</v>
      </c>
      <c r="B37" s="69">
        <f>E34-Q23</f>
        <v>17856500</v>
      </c>
      <c r="C37" s="69">
        <f>B37/E28</f>
        <v>595216.66666666663</v>
      </c>
      <c r="D37" s="69">
        <f>C37/E29</f>
        <v>29760.833333333332</v>
      </c>
      <c r="E37" s="69">
        <f>D37/E30</f>
        <v>425.15476190476187</v>
      </c>
      <c r="V37" s="10"/>
      <c r="W37" s="10"/>
      <c r="X37" s="33"/>
    </row>
    <row r="38" spans="1:26">
      <c r="A38" s="38" t="s">
        <v>155</v>
      </c>
      <c r="B38" s="69">
        <f>E34-R23</f>
        <v>12923326.637333333</v>
      </c>
      <c r="C38" s="69">
        <f>B38/E28</f>
        <v>430777.5545777778</v>
      </c>
      <c r="D38" s="69">
        <f>C38/E29</f>
        <v>21538.877728888889</v>
      </c>
      <c r="E38" s="69">
        <f>D38/E30</f>
        <v>307.69825326984125</v>
      </c>
      <c r="X38" s="33"/>
    </row>
    <row r="39" spans="1:26">
      <c r="A39" s="38" t="s">
        <v>156</v>
      </c>
      <c r="B39" s="69">
        <f>E34-S23</f>
        <v>12404826.637333333</v>
      </c>
      <c r="C39" s="69">
        <f>B39/E28</f>
        <v>413494.22124444443</v>
      </c>
      <c r="D39" s="69">
        <f>C39/E29</f>
        <v>20674.711062222221</v>
      </c>
      <c r="E39" s="69">
        <f>D39/E30</f>
        <v>295.35301517460317</v>
      </c>
      <c r="V39" s="10"/>
    </row>
  </sheetData>
  <mergeCells count="14">
    <mergeCell ref="A34:D34"/>
    <mergeCell ref="A28:D28"/>
    <mergeCell ref="E3:G3"/>
    <mergeCell ref="B3:D3"/>
    <mergeCell ref="A27:D27"/>
    <mergeCell ref="A29:D29"/>
    <mergeCell ref="A30:D30"/>
    <mergeCell ref="A31:D31"/>
    <mergeCell ref="A32:D32"/>
    <mergeCell ref="Q3:S3"/>
    <mergeCell ref="N3:P3"/>
    <mergeCell ref="K3:M3"/>
    <mergeCell ref="H3:J3"/>
    <mergeCell ref="A33:D33"/>
  </mergeCells>
  <phoneticPr fontId="15" alignment="center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F64E6B-D830-274B-AE92-1D2460099378}">
  <dimension ref="A1"/>
  <sheetViews>
    <sheetView zoomScaleNormal="150" zoomScaleSheetLayoutView="100" workbookViewId="0"/>
  </sheetViews>
  <sheetFormatPr defaultRowHeight="14.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เอกสาร" ma:contentTypeID="0x0101009704C893B9D75B4984EA1A6A2BF1D980" ma:contentTypeVersion="4" ma:contentTypeDescription="สร้างเอกสารใหม่" ma:contentTypeScope="" ma:versionID="3c188480eeb0e7bef48d9a7ad8c341e5">
  <xsd:schema xmlns:xsd="http://www.w3.org/2001/XMLSchema" xmlns:xs="http://www.w3.org/2001/XMLSchema" xmlns:p="http://schemas.microsoft.com/office/2006/metadata/properties" xmlns:ns2="5907e4b0-c6ed-47e0-b2d3-d25021d3e697" targetNamespace="http://schemas.microsoft.com/office/2006/metadata/properties" ma:root="true" ma:fieldsID="ab413c9188674488fd094497b6ec9222" ns2:_="">
    <xsd:import namespace="5907e4b0-c6ed-47e0-b2d3-d25021d3e69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07e4b0-c6ed-47e0-b2d3-d25021d3e69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ชนิดเนื้อหา"/>
        <xsd:element ref="dc:title" minOccurs="0" maxOccurs="1" ma:index="4" ma:displayName="ชื่อเรื่อง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63B8C75-6BED-4AC7-9EE1-84D69C54B78A}">
  <ds:schemaRefs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terms/"/>
    <ds:schemaRef ds:uri="http://schemas.microsoft.com/office/2006/metadata/properties"/>
    <ds:schemaRef ds:uri="http://schemas.microsoft.com/office/infopath/2007/PartnerControls"/>
    <ds:schemaRef ds:uri="5907e4b0-c6ed-47e0-b2d3-d25021d3e697"/>
    <ds:schemaRef ds:uri="http://purl.org/dc/dcmitype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A5C7E75B-8E36-45A6-B940-08C3550FC58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3920C29-291A-4A29-BD44-CC2CAE799FE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907e4b0-c6ed-47e0-b2d3-d25021d3e69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การลงทุนและค่าเสื่อม</vt:lpstr>
      <vt:lpstr>CBA -ข้อมูลจากบันทึกของฟาร์ม</vt:lpstr>
      <vt:lpstr>CBA -ข้อมูลจากหลายฟาร์ม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suwanna sayruamyat</cp:lastModifiedBy>
  <cp:lastPrinted>2018-12-22T04:09:07Z</cp:lastPrinted>
  <dcterms:created xsi:type="dcterms:W3CDTF">2018-12-21T12:41:46Z</dcterms:created>
  <dcterms:modified xsi:type="dcterms:W3CDTF">2024-07-01T04:50:18Z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0x0101009704C893B9D75B4984EA1A6A2BF1D980</vt:lpwstr>
  </property>
  <property fmtid="{D5CDD505-2E9C-101B-9397-08002B2CF9AE}" pid="3" name="MediaServiceImageTags">
    <vt:lpwstr/>
  </property>
</Properties>
</file>