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wan\Downloads\"/>
    </mc:Choice>
  </mc:AlternateContent>
  <xr:revisionPtr revIDLastSave="0" documentId="13_ncr:1_{E5C2965B-C2FF-4BEB-AA9D-18D8C9ECFD7D}" xr6:coauthVersionLast="47" xr6:coauthVersionMax="47" xr10:uidLastSave="{00000000-0000-0000-0000-000000000000}"/>
  <bookViews>
    <workbookView xWindow="10920" yWindow="1670" windowWidth="22880" windowHeight="16630" firstSheet="2" activeTab="2" xr2:uid="{E1D13DE8-9990-AF49-B0F4-A5F5147D1F3E}"/>
  </bookViews>
  <sheets>
    <sheet name="ค่าเสื่อมโรงเรือน" sheetId="2" r:id="rId1"/>
    <sheet name="ค่าเสื่อมอุปกรณ์+พ่อแม่พันธุ์" sheetId="3" r:id="rId2"/>
    <sheet name="จำนวนสุกร " sheetId="4" r:id="rId3"/>
    <sheet name="ค่าเสื่อม แรงงาน ดอกเบี้ย" sheetId="9" r:id="rId4"/>
    <sheet name="ค่าอาหาร" sheetId="5" r:id="rId5"/>
    <sheet name="ต้นทุนการผลิตลูกสุกร" sheetId="11" r:id="rId6"/>
    <sheet name="ต้นทุนการผลิตสุกรขุน" sheetId="6" r:id="rId7"/>
    <sheet name="Investment analysis" sheetId="13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6" l="1"/>
  <c r="D23" i="6" s="1"/>
  <c r="B3" i="13"/>
  <c r="D27" i="13"/>
  <c r="E27" i="13"/>
  <c r="F27" i="13"/>
  <c r="G27" i="13"/>
  <c r="H27" i="13"/>
  <c r="I27" i="13"/>
  <c r="J27" i="13"/>
  <c r="K27" i="13"/>
  <c r="L27" i="13"/>
  <c r="C27" i="13"/>
  <c r="D24" i="13"/>
  <c r="E24" i="13"/>
  <c r="F24" i="13"/>
  <c r="G24" i="13"/>
  <c r="H24" i="13"/>
  <c r="I24" i="13"/>
  <c r="J24" i="13"/>
  <c r="K24" i="13"/>
  <c r="L24" i="13"/>
  <c r="C24" i="13"/>
  <c r="L16" i="13"/>
  <c r="L15" i="13"/>
  <c r="L14" i="13"/>
  <c r="D14" i="13"/>
  <c r="E14" i="13"/>
  <c r="F14" i="13"/>
  <c r="G14" i="13"/>
  <c r="H14" i="13"/>
  <c r="I14" i="13"/>
  <c r="J14" i="13"/>
  <c r="K14" i="13"/>
  <c r="D15" i="13"/>
  <c r="E15" i="13"/>
  <c r="F15" i="13"/>
  <c r="G15" i="13"/>
  <c r="H15" i="13"/>
  <c r="I15" i="13"/>
  <c r="J15" i="13"/>
  <c r="K15" i="13"/>
  <c r="C15" i="13"/>
  <c r="D16" i="13"/>
  <c r="E16" i="13"/>
  <c r="F16" i="13"/>
  <c r="G16" i="13"/>
  <c r="H16" i="13"/>
  <c r="I16" i="13"/>
  <c r="J16" i="13"/>
  <c r="K16" i="13"/>
  <c r="C16" i="13"/>
  <c r="C14" i="13"/>
  <c r="B11" i="13"/>
  <c r="B10" i="13"/>
  <c r="D32" i="13"/>
  <c r="E32" i="13"/>
  <c r="F32" i="13"/>
  <c r="G32" i="13"/>
  <c r="H32" i="13"/>
  <c r="I32" i="13"/>
  <c r="J32" i="13"/>
  <c r="K32" i="13"/>
  <c r="L32" i="13"/>
  <c r="M32" i="13"/>
  <c r="C32" i="13"/>
  <c r="D21" i="13" l="1"/>
  <c r="E21" i="13"/>
  <c r="F21" i="13"/>
  <c r="G21" i="13"/>
  <c r="H21" i="13"/>
  <c r="I21" i="13"/>
  <c r="J21" i="13"/>
  <c r="K21" i="13"/>
  <c r="L21" i="13"/>
  <c r="C21" i="13"/>
  <c r="D22" i="13"/>
  <c r="E22" i="13"/>
  <c r="F22" i="13"/>
  <c r="G22" i="13"/>
  <c r="H22" i="13"/>
  <c r="I22" i="13"/>
  <c r="J22" i="13"/>
  <c r="K22" i="13"/>
  <c r="L22" i="13"/>
  <c r="C22" i="13"/>
  <c r="M33" i="13"/>
  <c r="B32" i="13"/>
  <c r="B34" i="13" s="1"/>
  <c r="C8" i="13"/>
  <c r="D8" i="13"/>
  <c r="E8" i="13"/>
  <c r="F8" i="13"/>
  <c r="G8" i="13"/>
  <c r="H8" i="13"/>
  <c r="I8" i="13"/>
  <c r="J8" i="13"/>
  <c r="K8" i="13"/>
  <c r="L8" i="13"/>
  <c r="D25" i="13"/>
  <c r="E25" i="13"/>
  <c r="F25" i="13"/>
  <c r="G25" i="13"/>
  <c r="H25" i="13"/>
  <c r="I25" i="13"/>
  <c r="J25" i="13"/>
  <c r="K25" i="13"/>
  <c r="L25" i="13"/>
  <c r="C25" i="13"/>
  <c r="D12" i="13"/>
  <c r="E12" i="13"/>
  <c r="F12" i="13"/>
  <c r="G12" i="13"/>
  <c r="H12" i="13"/>
  <c r="I12" i="13"/>
  <c r="J12" i="13"/>
  <c r="K12" i="13"/>
  <c r="L12" i="13"/>
  <c r="D20" i="13"/>
  <c r="E20" i="13"/>
  <c r="F20" i="13"/>
  <c r="G20" i="13"/>
  <c r="H20" i="13"/>
  <c r="I20" i="13"/>
  <c r="J20" i="13"/>
  <c r="K20" i="13"/>
  <c r="L20" i="13"/>
  <c r="C20" i="13"/>
  <c r="D13" i="13"/>
  <c r="E13" i="13"/>
  <c r="M7" i="13"/>
  <c r="M6" i="13"/>
  <c r="C13" i="13"/>
  <c r="C12" i="13"/>
  <c r="B8" i="13"/>
  <c r="B18" i="13" s="1"/>
  <c r="B28" i="13" s="1"/>
  <c r="E11" i="13"/>
  <c r="D10" i="13"/>
  <c r="B29" i="13" l="1"/>
  <c r="B35" i="13"/>
  <c r="B36" i="13" s="1"/>
  <c r="F23" i="13"/>
  <c r="C23" i="13"/>
  <c r="B33" i="13"/>
  <c r="C10" i="13"/>
  <c r="D11" i="13"/>
  <c r="M26" i="13"/>
  <c r="K10" i="13"/>
  <c r="L11" i="13"/>
  <c r="G10" i="13"/>
  <c r="J23" i="13"/>
  <c r="J26" i="13" s="1"/>
  <c r="H11" i="13"/>
  <c r="C11" i="13"/>
  <c r="K11" i="13"/>
  <c r="G11" i="13"/>
  <c r="J10" i="13"/>
  <c r="F10" i="13"/>
  <c r="I23" i="13"/>
  <c r="I26" i="13" s="1"/>
  <c r="E23" i="13"/>
  <c r="E26" i="13" s="1"/>
  <c r="J11" i="13"/>
  <c r="F11" i="13"/>
  <c r="I10" i="13"/>
  <c r="E10" i="13"/>
  <c r="L23" i="13"/>
  <c r="L26" i="13" s="1"/>
  <c r="H23" i="13"/>
  <c r="H26" i="13" s="1"/>
  <c r="D23" i="13"/>
  <c r="D26" i="13" s="1"/>
  <c r="I11" i="13"/>
  <c r="L10" i="13"/>
  <c r="H10" i="13"/>
  <c r="K23" i="13"/>
  <c r="K26" i="13" s="1"/>
  <c r="G23" i="13"/>
  <c r="G26" i="13" s="1"/>
  <c r="K34" i="13" l="1"/>
  <c r="L34" i="13"/>
  <c r="I34" i="13"/>
  <c r="J34" i="13"/>
  <c r="D34" i="13"/>
  <c r="G34" i="13"/>
  <c r="H34" i="13"/>
  <c r="E34" i="13"/>
  <c r="F26" i="13"/>
  <c r="M28" i="13"/>
  <c r="M35" i="13" s="1"/>
  <c r="M34" i="13"/>
  <c r="C26" i="13"/>
  <c r="D17" i="13"/>
  <c r="D18" i="13" s="1"/>
  <c r="D33" i="13" s="1"/>
  <c r="L17" i="13"/>
  <c r="L18" i="13" s="1"/>
  <c r="L33" i="13" s="1"/>
  <c r="K17" i="13"/>
  <c r="K18" i="13" s="1"/>
  <c r="E17" i="13"/>
  <c r="E18" i="13" s="1"/>
  <c r="I17" i="13"/>
  <c r="I18" i="13" s="1"/>
  <c r="I33" i="13" s="1"/>
  <c r="H17" i="13"/>
  <c r="H18" i="13" s="1"/>
  <c r="G17" i="13"/>
  <c r="G18" i="13" s="1"/>
  <c r="C17" i="13"/>
  <c r="C18" i="13" s="1"/>
  <c r="F17" i="13"/>
  <c r="F18" i="13" s="1"/>
  <c r="J17" i="13"/>
  <c r="J18" i="13" s="1"/>
  <c r="D28" i="13" l="1"/>
  <c r="D35" i="13" s="1"/>
  <c r="I28" i="13"/>
  <c r="I35" i="13" s="1"/>
  <c r="E28" i="13"/>
  <c r="G28" i="13"/>
  <c r="J28" i="13"/>
  <c r="J35" i="13" s="1"/>
  <c r="L28" i="13"/>
  <c r="L35" i="13" s="1"/>
  <c r="H28" i="13"/>
  <c r="H35" i="13" s="1"/>
  <c r="K28" i="13"/>
  <c r="K35" i="13" s="1"/>
  <c r="C34" i="13"/>
  <c r="C28" i="13"/>
  <c r="F34" i="13"/>
  <c r="F28" i="13"/>
  <c r="F35" i="13" s="1"/>
  <c r="F33" i="13"/>
  <c r="C33" i="13"/>
  <c r="G33" i="13"/>
  <c r="E33" i="13"/>
  <c r="J33" i="13"/>
  <c r="H33" i="13"/>
  <c r="K33" i="13"/>
  <c r="N34" i="13" l="1"/>
  <c r="C38" i="13"/>
  <c r="C45" i="13"/>
  <c r="C47" i="13"/>
  <c r="C29" i="13"/>
  <c r="D29" i="13" s="1"/>
  <c r="E29" i="13" s="1"/>
  <c r="F29" i="13" s="1"/>
  <c r="G29" i="13" s="1"/>
  <c r="G35" i="13"/>
  <c r="N33" i="13"/>
  <c r="C40" i="13" s="1"/>
  <c r="C35" i="13"/>
  <c r="C36" i="13" s="1"/>
  <c r="D36" i="13" s="1"/>
  <c r="E35" i="13"/>
  <c r="D4" i="6"/>
  <c r="B4" i="6"/>
  <c r="F4" i="4"/>
  <c r="F3" i="4"/>
  <c r="F30" i="9"/>
  <c r="I22" i="3"/>
  <c r="I21" i="3"/>
  <c r="F21" i="3"/>
  <c r="K21" i="3" s="1"/>
  <c r="F19" i="3"/>
  <c r="E31" i="5"/>
  <c r="C31" i="5"/>
  <c r="H23" i="5"/>
  <c r="E23" i="5"/>
  <c r="F22" i="9"/>
  <c r="B21" i="9"/>
  <c r="B22" i="9" s="1"/>
  <c r="B29" i="9"/>
  <c r="B32" i="9"/>
  <c r="M2" i="3"/>
  <c r="M2" i="2"/>
  <c r="F10" i="9"/>
  <c r="F11" i="9"/>
  <c r="F9" i="9"/>
  <c r="K18" i="5"/>
  <c r="B3" i="9"/>
  <c r="C50" i="13" l="1"/>
  <c r="E36" i="13"/>
  <c r="F36" i="13" s="1"/>
  <c r="G36" i="13" s="1"/>
  <c r="H29" i="13"/>
  <c r="I29" i="13" s="1"/>
  <c r="J29" i="13" s="1"/>
  <c r="K29" i="13" s="1"/>
  <c r="L29" i="13" s="1"/>
  <c r="M29" i="13" s="1"/>
  <c r="N35" i="13"/>
  <c r="C51" i="13" s="1"/>
  <c r="L21" i="3"/>
  <c r="M21" i="3" s="1"/>
  <c r="N21" i="3" s="1"/>
  <c r="I19" i="3"/>
  <c r="L19" i="3" s="1"/>
  <c r="M19" i="3" s="1"/>
  <c r="N19" i="3" s="1"/>
  <c r="F13" i="9"/>
  <c r="F14" i="9" s="1"/>
  <c r="C42" i="13" l="1"/>
  <c r="H36" i="13"/>
  <c r="I36" i="13" s="1"/>
  <c r="J36" i="13" s="1"/>
  <c r="K36" i="13" s="1"/>
  <c r="L36" i="13" s="1"/>
  <c r="M36" i="13" s="1"/>
  <c r="K19" i="3"/>
  <c r="C43" i="13" l="1"/>
  <c r="I21" i="4"/>
  <c r="I18" i="4"/>
  <c r="I17" i="4"/>
  <c r="I16" i="4"/>
  <c r="E10" i="5"/>
  <c r="H16" i="5" s="1"/>
  <c r="K16" i="5" s="1"/>
  <c r="E9" i="5"/>
  <c r="H14" i="5" s="1"/>
  <c r="K14" i="5" s="1"/>
  <c r="E8" i="5"/>
  <c r="H13" i="5" s="1"/>
  <c r="K13" i="5" s="1"/>
  <c r="K15" i="5" s="1"/>
  <c r="E7" i="5"/>
  <c r="E30" i="5" s="1"/>
  <c r="G30" i="5" s="1"/>
  <c r="E6" i="5"/>
  <c r="E29" i="5" s="1"/>
  <c r="G29" i="5" s="1"/>
  <c r="E5" i="5"/>
  <c r="E28" i="5" s="1"/>
  <c r="G28" i="5" s="1"/>
  <c r="E4" i="5"/>
  <c r="H22" i="5" s="1"/>
  <c r="K22" i="5" s="1"/>
  <c r="E3" i="5"/>
  <c r="H21" i="5" s="1"/>
  <c r="K21" i="5" s="1"/>
  <c r="B9" i="4"/>
  <c r="B11" i="4" s="1"/>
  <c r="J3" i="4" s="1"/>
  <c r="F6" i="4" s="1"/>
  <c r="F17" i="4"/>
  <c r="G17" i="4" s="1"/>
  <c r="F18" i="4"/>
  <c r="H18" i="4" s="1"/>
  <c r="F19" i="4"/>
  <c r="G19" i="4" s="1"/>
  <c r="F20" i="4"/>
  <c r="G20" i="4" s="1"/>
  <c r="F21" i="4"/>
  <c r="G21" i="4" s="1"/>
  <c r="F22" i="4"/>
  <c r="F16" i="4"/>
  <c r="H16" i="4" s="1"/>
  <c r="P4" i="3"/>
  <c r="I7" i="3"/>
  <c r="P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22" i="3"/>
  <c r="K22" i="3" s="1"/>
  <c r="F3" i="3"/>
  <c r="P24" i="2"/>
  <c r="F24" i="2"/>
  <c r="I24" i="2" s="1"/>
  <c r="P23" i="2"/>
  <c r="P22" i="2"/>
  <c r="P21" i="2"/>
  <c r="P20" i="2"/>
  <c r="F20" i="2"/>
  <c r="F21" i="2"/>
  <c r="I21" i="2" s="1"/>
  <c r="F22" i="2"/>
  <c r="F23" i="2"/>
  <c r="P5" i="2"/>
  <c r="P6" i="2"/>
  <c r="P15" i="2"/>
  <c r="P16" i="2"/>
  <c r="P18" i="2"/>
  <c r="P19" i="2"/>
  <c r="P25" i="2"/>
  <c r="P26" i="2"/>
  <c r="P3" i="2"/>
  <c r="F26" i="2"/>
  <c r="F25" i="2"/>
  <c r="I25" i="2" s="1"/>
  <c r="L25" i="2" s="1"/>
  <c r="M25" i="2" s="1"/>
  <c r="N25" i="2" s="1"/>
  <c r="I17" i="3" l="1"/>
  <c r="L17" i="3" s="1"/>
  <c r="M17" i="3" s="1"/>
  <c r="N17" i="3" s="1"/>
  <c r="K17" i="3"/>
  <c r="I16" i="3"/>
  <c r="K16" i="3"/>
  <c r="K7" i="3"/>
  <c r="K6" i="3"/>
  <c r="K5" i="3"/>
  <c r="I3" i="3"/>
  <c r="K3" i="3"/>
  <c r="I4" i="3"/>
  <c r="K4" i="3"/>
  <c r="I18" i="3"/>
  <c r="L18" i="3" s="1"/>
  <c r="M18" i="3" s="1"/>
  <c r="N18" i="3" s="1"/>
  <c r="K18" i="3"/>
  <c r="I10" i="3"/>
  <c r="K10" i="3" s="1"/>
  <c r="I8" i="3"/>
  <c r="K8" i="3"/>
  <c r="I15" i="3"/>
  <c r="K15" i="3"/>
  <c r="I14" i="3"/>
  <c r="L14" i="3" s="1"/>
  <c r="M14" i="3" s="1"/>
  <c r="N14" i="3" s="1"/>
  <c r="K14" i="3"/>
  <c r="K13" i="3"/>
  <c r="I11" i="3"/>
  <c r="K11" i="3"/>
  <c r="P23" i="3"/>
  <c r="D4" i="9" s="1"/>
  <c r="F23" i="3"/>
  <c r="I12" i="3"/>
  <c r="K12" i="3" s="1"/>
  <c r="J4" i="4"/>
  <c r="N16" i="5" s="1"/>
  <c r="J5" i="4"/>
  <c r="F31" i="9" s="1"/>
  <c r="L24" i="2"/>
  <c r="M24" i="2" s="1"/>
  <c r="N24" i="2" s="1"/>
  <c r="K24" i="2"/>
  <c r="G31" i="5"/>
  <c r="L3" i="3"/>
  <c r="M3" i="3" s="1"/>
  <c r="N3" i="3" s="1"/>
  <c r="I13" i="3"/>
  <c r="I5" i="3"/>
  <c r="L16" i="3"/>
  <c r="M16" i="3" s="1"/>
  <c r="N16" i="3" s="1"/>
  <c r="I9" i="3"/>
  <c r="L9" i="3" s="1"/>
  <c r="M9" i="3" s="1"/>
  <c r="N9" i="3" s="1"/>
  <c r="I6" i="3"/>
  <c r="L6" i="3" s="1"/>
  <c r="M6" i="3" s="1"/>
  <c r="N6" i="3" s="1"/>
  <c r="N15" i="5"/>
  <c r="I25" i="4"/>
  <c r="C29" i="4" s="1"/>
  <c r="K23" i="5"/>
  <c r="H20" i="4"/>
  <c r="G18" i="4"/>
  <c r="H21" i="4"/>
  <c r="H19" i="4"/>
  <c r="H17" i="4"/>
  <c r="G16" i="4"/>
  <c r="G25" i="4" s="1"/>
  <c r="L8" i="3"/>
  <c r="M8" i="3" s="1"/>
  <c r="N8" i="3" s="1"/>
  <c r="L4" i="3"/>
  <c r="M4" i="3" s="1"/>
  <c r="N4" i="3" s="1"/>
  <c r="L22" i="3"/>
  <c r="M22" i="3" s="1"/>
  <c r="N22" i="3" s="1"/>
  <c r="L15" i="3"/>
  <c r="M15" i="3" s="1"/>
  <c r="N15" i="3" s="1"/>
  <c r="L11" i="3"/>
  <c r="M11" i="3" s="1"/>
  <c r="N11" i="3" s="1"/>
  <c r="L7" i="3"/>
  <c r="M7" i="3" s="1"/>
  <c r="N7" i="3" s="1"/>
  <c r="K21" i="2"/>
  <c r="L21" i="2"/>
  <c r="M21" i="2" s="1"/>
  <c r="N21" i="2" s="1"/>
  <c r="K22" i="2"/>
  <c r="I23" i="2"/>
  <c r="L23" i="2" s="1"/>
  <c r="M23" i="2" s="1"/>
  <c r="N23" i="2" s="1"/>
  <c r="I22" i="2"/>
  <c r="L22" i="2" s="1"/>
  <c r="M22" i="2" s="1"/>
  <c r="N22" i="2" s="1"/>
  <c r="I20" i="2"/>
  <c r="L20" i="2" s="1"/>
  <c r="M20" i="2" s="1"/>
  <c r="N20" i="2" s="1"/>
  <c r="I26" i="2"/>
  <c r="L26" i="2" s="1"/>
  <c r="M26" i="2" s="1"/>
  <c r="N26" i="2" s="1"/>
  <c r="K25" i="2"/>
  <c r="C28" i="4" l="1"/>
  <c r="B15" i="6"/>
  <c r="D15" i="6" s="1"/>
  <c r="B14" i="11"/>
  <c r="D14" i="11" s="1"/>
  <c r="L10" i="3"/>
  <c r="M10" i="3" s="1"/>
  <c r="N10" i="3" s="1"/>
  <c r="K9" i="3"/>
  <c r="L12" i="3"/>
  <c r="M12" i="3" s="1"/>
  <c r="N12" i="3" s="1"/>
  <c r="B23" i="9"/>
  <c r="F23" i="9"/>
  <c r="B33" i="9"/>
  <c r="B30" i="9"/>
  <c r="F15" i="9"/>
  <c r="N17" i="5"/>
  <c r="K23" i="3"/>
  <c r="B4" i="9" s="1"/>
  <c r="B5" i="9" s="1"/>
  <c r="B6" i="9" s="1"/>
  <c r="L13" i="3"/>
  <c r="M13" i="3" s="1"/>
  <c r="N13" i="3" s="1"/>
  <c r="K23" i="2"/>
  <c r="L5" i="3"/>
  <c r="M5" i="3" s="1"/>
  <c r="N5" i="3" s="1"/>
  <c r="H25" i="4"/>
  <c r="C27" i="4" s="1"/>
  <c r="C30" i="4" s="1"/>
  <c r="K20" i="2"/>
  <c r="K26" i="2"/>
  <c r="B10" i="6" l="1"/>
  <c r="D10" i="6" s="1"/>
  <c r="B9" i="11"/>
  <c r="D9" i="11" s="1"/>
  <c r="C14" i="6"/>
  <c r="D14" i="6" s="1"/>
  <c r="C13" i="11"/>
  <c r="D13" i="11" s="1"/>
  <c r="B6" i="6"/>
  <c r="D6" i="6" s="1"/>
  <c r="B5" i="11"/>
  <c r="D5" i="11" s="1"/>
  <c r="B9" i="6"/>
  <c r="D9" i="6" s="1"/>
  <c r="B8" i="11"/>
  <c r="D8" i="11" s="1"/>
  <c r="C13" i="6"/>
  <c r="C12" i="11"/>
  <c r="B8" i="6"/>
  <c r="D8" i="6" s="1"/>
  <c r="B7" i="11"/>
  <c r="D7" i="11" s="1"/>
  <c r="K25" i="5"/>
  <c r="B4" i="11"/>
  <c r="D4" i="11" s="1"/>
  <c r="B13" i="6"/>
  <c r="B12" i="6" s="1"/>
  <c r="B12" i="11"/>
  <c r="N23" i="3"/>
  <c r="C4" i="9" s="1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B11" i="11" l="1"/>
  <c r="D12" i="11"/>
  <c r="D13" i="6"/>
  <c r="I10" i="2"/>
  <c r="L10" i="2" s="1"/>
  <c r="M10" i="2" s="1"/>
  <c r="N10" i="2" s="1"/>
  <c r="O10" i="2" s="1"/>
  <c r="P10" i="2" s="1"/>
  <c r="I14" i="2"/>
  <c r="K14" i="2" s="1"/>
  <c r="I7" i="2"/>
  <c r="L7" i="2" s="1"/>
  <c r="M7" i="2" s="1"/>
  <c r="N7" i="2" s="1"/>
  <c r="I19" i="2"/>
  <c r="K19" i="2" s="1"/>
  <c r="I4" i="2"/>
  <c r="K4" i="2" s="1"/>
  <c r="I8" i="2"/>
  <c r="L8" i="2" s="1"/>
  <c r="M8" i="2" s="1"/>
  <c r="N8" i="2" s="1"/>
  <c r="K8" i="2"/>
  <c r="I12" i="2"/>
  <c r="L12" i="2" s="1"/>
  <c r="M12" i="2" s="1"/>
  <c r="N12" i="2" s="1"/>
  <c r="O12" i="2" s="1"/>
  <c r="P12" i="2" s="1"/>
  <c r="I16" i="2"/>
  <c r="K16" i="2" s="1"/>
  <c r="L16" i="2"/>
  <c r="M16" i="2" s="1"/>
  <c r="N16" i="2" s="1"/>
  <c r="I6" i="2"/>
  <c r="K6" i="2" s="1"/>
  <c r="I18" i="2"/>
  <c r="L18" i="2" s="1"/>
  <c r="M18" i="2" s="1"/>
  <c r="N18" i="2" s="1"/>
  <c r="I3" i="2"/>
  <c r="L3" i="2" s="1"/>
  <c r="M3" i="2" s="1"/>
  <c r="N3" i="2" s="1"/>
  <c r="K11" i="2"/>
  <c r="I11" i="2"/>
  <c r="L11" i="2" s="1"/>
  <c r="M11" i="2" s="1"/>
  <c r="N11" i="2" s="1"/>
  <c r="O11" i="2" s="1"/>
  <c r="P11" i="2" s="1"/>
  <c r="I15" i="2"/>
  <c r="K15" i="2" s="1"/>
  <c r="I5" i="2"/>
  <c r="K5" i="2" s="1"/>
  <c r="I9" i="2"/>
  <c r="L9" i="2" s="1"/>
  <c r="M9" i="2" s="1"/>
  <c r="N9" i="2" s="1"/>
  <c r="I13" i="2"/>
  <c r="L13" i="2" s="1"/>
  <c r="M13" i="2" s="1"/>
  <c r="N13" i="2" s="1"/>
  <c r="O13" i="2" s="1"/>
  <c r="P13" i="2" s="1"/>
  <c r="I17" i="2"/>
  <c r="L17" i="2" s="1"/>
  <c r="M17" i="2" s="1"/>
  <c r="N17" i="2" s="1"/>
  <c r="F27" i="2"/>
  <c r="P27" i="2" l="1"/>
  <c r="D3" i="9" s="1"/>
  <c r="D5" i="9" s="1"/>
  <c r="D6" i="9" s="1"/>
  <c r="B6" i="11" s="1"/>
  <c r="L4" i="2"/>
  <c r="M4" i="2" s="1"/>
  <c r="N4" i="2" s="1"/>
  <c r="K9" i="2"/>
  <c r="K7" i="2"/>
  <c r="K3" i="2"/>
  <c r="K17" i="2"/>
  <c r="L15" i="2"/>
  <c r="M15" i="2" s="1"/>
  <c r="N15" i="2" s="1"/>
  <c r="K13" i="2"/>
  <c r="L5" i="2"/>
  <c r="M5" i="2" s="1"/>
  <c r="N5" i="2" s="1"/>
  <c r="K18" i="2"/>
  <c r="K12" i="2"/>
  <c r="L19" i="2"/>
  <c r="M19" i="2" s="1"/>
  <c r="N19" i="2" s="1"/>
  <c r="L14" i="2"/>
  <c r="M14" i="2" s="1"/>
  <c r="N14" i="2" s="1"/>
  <c r="K10" i="2"/>
  <c r="L6" i="2"/>
  <c r="M6" i="2" s="1"/>
  <c r="N6" i="2" s="1"/>
  <c r="B7" i="6" l="1"/>
  <c r="D7" i="6" s="1"/>
  <c r="K27" i="2"/>
  <c r="N27" i="2"/>
  <c r="C3" i="9" s="1"/>
  <c r="C5" i="9" s="1"/>
  <c r="C6" i="9" s="1"/>
  <c r="C15" i="11" s="1"/>
  <c r="C16" i="6" l="1"/>
  <c r="C12" i="6" s="1"/>
  <c r="D6" i="11"/>
  <c r="B3" i="11"/>
  <c r="C10" i="11" s="1"/>
  <c r="D16" i="6" l="1"/>
  <c r="D12" i="6" s="1"/>
  <c r="B16" i="11"/>
  <c r="D15" i="11"/>
  <c r="D11" i="11" s="1"/>
  <c r="C11" i="11"/>
  <c r="C3" i="11" l="1"/>
  <c r="D10" i="11"/>
  <c r="C16" i="11" l="1"/>
  <c r="D3" i="11"/>
  <c r="D16" i="11" s="1"/>
  <c r="B5" i="6" s="1"/>
  <c r="B3" i="6" l="1"/>
  <c r="D25" i="6" s="1"/>
  <c r="D28" i="6" s="1"/>
  <c r="D5" i="6"/>
  <c r="B17" i="6" l="1"/>
  <c r="C11" i="6"/>
  <c r="C3" i="6" l="1"/>
  <c r="C17" i="6" s="1"/>
  <c r="D11" i="6"/>
  <c r="D3" i="6" s="1"/>
  <c r="D17" i="6" s="1"/>
  <c r="D24" i="6" l="1"/>
  <c r="D27" i="6" s="1"/>
  <c r="D26" i="6"/>
  <c r="D29" i="6" s="1"/>
</calcChain>
</file>

<file path=xl/sharedStrings.xml><?xml version="1.0" encoding="utf-8"?>
<sst xmlns="http://schemas.openxmlformats.org/spreadsheetml/2006/main" count="565" uniqueCount="314">
  <si>
    <t>รายการ</t>
  </si>
  <si>
    <t>จำนวน</t>
  </si>
  <si>
    <t>หน่วย</t>
  </si>
  <si>
    <t>ราคา/หน่วย</t>
  </si>
  <si>
    <t>อัตราการใช้ประโยชน์</t>
  </si>
  <si>
    <t>มูลค่า</t>
  </si>
  <si>
    <t>อายุการใช้งาน</t>
  </si>
  <si>
    <t>(ปี)</t>
  </si>
  <si>
    <t>มูลค่าซาก</t>
  </si>
  <si>
    <t>โรงเรือนแม่อุ้มท้อง</t>
  </si>
  <si>
    <t>หลัง</t>
  </si>
  <si>
    <t>แม่สุกร 500 ตัว</t>
  </si>
  <si>
    <t>โรงเรือนพ่อพันธุ์</t>
  </si>
  <si>
    <t>ห้อง</t>
  </si>
  <si>
    <t>พ่อสุกร 10 ตัว</t>
  </si>
  <si>
    <t>โรงเรือนคลอด</t>
  </si>
  <si>
    <t>แม่สุกรคลอด 100 ตัว</t>
  </si>
  <si>
    <t>โรงเรือนสุกรขุน</t>
  </si>
  <si>
    <t>สุกรขุน 45 ตัว</t>
  </si>
  <si>
    <t>โรงเรือนสุกรป่วย</t>
  </si>
  <si>
    <t>ต่อฟาร์ม</t>
  </si>
  <si>
    <t>โรงเรือนรอขายสุกร</t>
  </si>
  <si>
    <t>โรงเก็บอาหารและผสม</t>
  </si>
  <si>
    <t>โรงเก็บมูลสุกร</t>
  </si>
  <si>
    <t>ลานตากมูลคอนกรีต</t>
  </si>
  <si>
    <t>ตร.ม.</t>
  </si>
  <si>
    <t>ถังเก็บน้ำคอนกรีต</t>
  </si>
  <si>
    <t>ถัง</t>
  </si>
  <si>
    <t>บ่อบาดาล</t>
  </si>
  <si>
    <t>บ่อ</t>
  </si>
  <si>
    <t>บ่อก๊าซชีวภาพ</t>
  </si>
  <si>
    <t xml:space="preserve"> บ่อ</t>
  </si>
  <si>
    <t>ค่าติดตั้งระบบประปา</t>
  </si>
  <si>
    <t>บ่อบำบัดน้ำเสีย</t>
  </si>
  <si>
    <t>บ้านพักคนงาน</t>
  </si>
  <si>
    <t>ต่อครัว</t>
  </si>
  <si>
    <t>ค่าติดตั้งระบบไฟฟ้า</t>
  </si>
  <si>
    <t>ค่าปรับปรุงระบบ Biosecurity</t>
  </si>
  <si>
    <t>ระบบ</t>
  </si>
  <si>
    <t>% มูลค่าซาก</t>
  </si>
  <si>
    <t>รวมเงินลงทุนเริ่มต้นปีแรก</t>
  </si>
  <si>
    <t>ค่าเสื่อม/ปี</t>
  </si>
  <si>
    <t>รถปิ๊กอัพ</t>
  </si>
  <si>
    <t>รถมอเตอร์ไซต์</t>
  </si>
  <si>
    <t>คัน</t>
  </si>
  <si>
    <t>เครื่อง</t>
  </si>
  <si>
    <t>สัดส่วนการใช้</t>
  </si>
  <si>
    <t>AIV</t>
  </si>
  <si>
    <t>ค่าเสียโอกาสของเงินทุน</t>
  </si>
  <si>
    <t>ค่าบำรุงรักษา</t>
  </si>
  <si>
    <t>ค่าเสียโอกาส/ฟาร์ม</t>
  </si>
  <si>
    <t>M*J</t>
  </si>
  <si>
    <t>ค่าบำรุงรักษา/ฟาร์ม</t>
  </si>
  <si>
    <t>F*H%</t>
  </si>
  <si>
    <t>B*D</t>
  </si>
  <si>
    <t>(F/G+I)*J</t>
  </si>
  <si>
    <t>O*J</t>
  </si>
  <si>
    <t>เครื่องชั่งน้ำหนัก 500 กก.</t>
  </si>
  <si>
    <t>ระบบอาหารอัตโนมัติ</t>
  </si>
  <si>
    <t>เครื่องผสมอาหารขนาด   1 ตัน</t>
  </si>
  <si>
    <t>เครื่องผสมอาหารขนาด   2 ตัน</t>
  </si>
  <si>
    <t>สุกรขุน 3,000 ตัว</t>
  </si>
  <si>
    <t>กล้องจุลทรรศน์</t>
  </si>
  <si>
    <t>ปั๊มน้ำ 2 แรงม้า</t>
  </si>
  <si>
    <t>พัดลมระบายอากาศ</t>
  </si>
  <si>
    <t>พลั่วตักวัตถุดิบอาหาร</t>
  </si>
  <si>
    <t>อัน</t>
  </si>
  <si>
    <t>รถเก็บมูลสุกร</t>
  </si>
  <si>
    <t>ต่อโรงเรือน</t>
  </si>
  <si>
    <t>รถเข็นอาหาร</t>
  </si>
  <si>
    <t>รถเข็นวัตถุดิบ</t>
  </si>
  <si>
    <t>เครื่องพ่นยาฆ่าเชื้อ</t>
  </si>
  <si>
    <t xml:space="preserve">กระบวยตักอาหาร </t>
  </si>
  <si>
    <t>ตาชั่งตวงยา</t>
  </si>
  <si>
    <t>กรรไกรตัดหางสุกร</t>
  </si>
  <si>
    <t>เล่ม</t>
  </si>
  <si>
    <t>เครื่องเจียรฟันลูกสุกร</t>
  </si>
  <si>
    <t>เครื่องอุ่นน้ำเชื้อ</t>
  </si>
  <si>
    <t>มีดผ่าตัด</t>
  </si>
  <si>
    <t>ตู้เย็นเก็บน้ำเชื้อและวัคซีน</t>
  </si>
  <si>
    <t>ตู้</t>
  </si>
  <si>
    <t>ตะขอดึงกระสอบ</t>
  </si>
  <si>
    <t>เครื่องวัดอุณหภูมิ</t>
  </si>
  <si>
    <t>ขวดบรรจุน้ำเชื้อ</t>
  </si>
  <si>
    <t>ขวด</t>
  </si>
  <si>
    <t>พ่อพันธุ์</t>
  </si>
  <si>
    <t>อหิวาต์สุกร</t>
  </si>
  <si>
    <t>ปากเท่าเปื่อย</t>
  </si>
  <si>
    <t>แม่พันธุ์</t>
  </si>
  <si>
    <t>รายการวัคซีนและยา</t>
  </si>
  <si>
    <t>ราคา/โดส</t>
  </si>
  <si>
    <t>รวม</t>
  </si>
  <si>
    <t>พิษสุนัขบ้าเทียม</t>
  </si>
  <si>
    <t>MPV</t>
  </si>
  <si>
    <t>PV</t>
  </si>
  <si>
    <t>PRRS</t>
  </si>
  <si>
    <t>วัคซีน</t>
  </si>
  <si>
    <t>ลูกสุกร</t>
  </si>
  <si>
    <t>โดส</t>
  </si>
  <si>
    <t>บาท/กก.</t>
  </si>
  <si>
    <t>ธาตุเหล็ก</t>
  </si>
  <si>
    <t>อัตราการให้ลูก</t>
  </si>
  <si>
    <t>ตัว/ปี</t>
  </si>
  <si>
    <t>จำนวนการตั้งท้อง</t>
  </si>
  <si>
    <t>ตัว/คอก</t>
  </si>
  <si>
    <t>ต่อ ปี</t>
  </si>
  <si>
    <t>รายการอาหาร</t>
  </si>
  <si>
    <t>1. สูตรลูกสุกรเลียราง</t>
  </si>
  <si>
    <t>2. สูตรลูกสุกรอนุบาล</t>
  </si>
  <si>
    <t>3. สูตรลูกสุกรเล็ก</t>
  </si>
  <si>
    <t>4. สูตรสุกรรุ่น</t>
  </si>
  <si>
    <t>5. สูตรสุกรขุน</t>
  </si>
  <si>
    <t>6. สูตรแม่พันธุ์อุ้มท้อง</t>
  </si>
  <si>
    <t>7. สูตรแม่พันธุ์เสี้ยงลูก</t>
  </si>
  <si>
    <t>8. สูตรพ่อพันธุ์</t>
  </si>
  <si>
    <t>ซื้ออาหาร</t>
  </si>
  <si>
    <t xml:space="preserve">ราคา </t>
  </si>
  <si>
    <t>บาท/กก</t>
  </si>
  <si>
    <t>ถุง</t>
  </si>
  <si>
    <t>นน</t>
  </si>
  <si>
    <t>ค่าอาหารพ่อแม่พันธุ์</t>
  </si>
  <si>
    <t>ช่วงอุ้มท้อง+ผสมไม่ติด</t>
  </si>
  <si>
    <t>กินอาหารวันละ</t>
  </si>
  <si>
    <t>กก./วัน</t>
  </si>
  <si>
    <t>ราคา</t>
  </si>
  <si>
    <t>บาท</t>
  </si>
  <si>
    <t>ช่วงเลี้ยงลูก+ผ่อนปรน</t>
  </si>
  <si>
    <t>วัน</t>
  </si>
  <si>
    <t>จำนวนวันกินอาหาร</t>
  </si>
  <si>
    <t>ค่าอาหารลูกถึง นน. 16 กก.</t>
  </si>
  <si>
    <t>ช่วงเลียรางถึงหย่านม</t>
  </si>
  <si>
    <t>กินอาหาร</t>
  </si>
  <si>
    <t>กก</t>
  </si>
  <si>
    <t>ช่วงหย่านมถึง 16 กก.</t>
  </si>
  <si>
    <t>รวมค่าอาหารจนลูกสุกร นน 16 กก.</t>
  </si>
  <si>
    <t>บาท/ตัว</t>
  </si>
  <si>
    <t>รวมค่าอาหารแม่พันธุ์</t>
  </si>
  <si>
    <t>%</t>
  </si>
  <si>
    <t>ตัว</t>
  </si>
  <si>
    <t>จำนวนแม่พันธุ์</t>
  </si>
  <si>
    <t>จำนวนพ่อพันธุ์</t>
  </si>
  <si>
    <t>จำนวนลูกที่ผลิตได้</t>
  </si>
  <si>
    <t>คิดเป็น</t>
  </si>
  <si>
    <t>บาท/ลูกสุกร 1 ตัว</t>
  </si>
  <si>
    <t>รวมค่าอาหารพ่อแม่พันธุ์ต่อการผลิตลูกสุกร 1 ตัว</t>
  </si>
  <si>
    <t>รวมค่าอาหารการผลิตลูกสุกร  1 ตัว</t>
  </si>
  <si>
    <t>ค่าวัคซีนแม่พันธุ์ต่อการผลิตลูก 1 ตัว</t>
  </si>
  <si>
    <t>ค่าวัคซีนพ่อพันธุ์ต่อการผลิตลูก 1 ตัว</t>
  </si>
  <si>
    <t>ค่าวัคซีนและยาปฏิชีวนะลูก 1 ตัว</t>
  </si>
  <si>
    <t>ค่าอาหาร</t>
  </si>
  <si>
    <t>สุกรเล็ก (16-35 กก.)</t>
  </si>
  <si>
    <t>สุกรรุ่น (35-70 กก.)</t>
  </si>
  <si>
    <t>สุกรขุน (70-100 กก.)</t>
  </si>
  <si>
    <t>ปริมาณอาหารที่กิน</t>
  </si>
  <si>
    <t>FCR</t>
  </si>
  <si>
    <t>กก.</t>
  </si>
  <si>
    <t>ต้นทุนการผลิตสุกรขุน นน. 100 กก.</t>
  </si>
  <si>
    <t>เป็นเงินสด</t>
  </si>
  <si>
    <t>ไม่เป็นเงินสด</t>
  </si>
  <si>
    <t>ค่าแรงงาน</t>
  </si>
  <si>
    <t>ค่าเสื่อม</t>
  </si>
  <si>
    <t>1. ต้นทุนผันแปร</t>
  </si>
  <si>
    <t>2. ต้นทุนคงที่</t>
  </si>
  <si>
    <t>1.1 ค่าอาหาร</t>
  </si>
  <si>
    <t>1.2 ค่าแรงงาน</t>
  </si>
  <si>
    <t>1.3 ค่าซ่อมบำรุง</t>
  </si>
  <si>
    <t>1.4 ค่าไฟฟ้าและพลังงาน</t>
  </si>
  <si>
    <t>1.5 ค่าวัคซีนและยาปฏิชีวนะ</t>
  </si>
  <si>
    <t>1.6 ค่าใช้จ่ายสิ้นเปลืองอื่นๆ</t>
  </si>
  <si>
    <t>1.7 ค่าเสียโอกาสเงินทุนระยะสั้น</t>
  </si>
  <si>
    <t>2.1 ค่าเสียโอกาสใช้ที่ดินตนเอง</t>
  </si>
  <si>
    <t>2.2 ค่าเสื่อมโรงเรือนและอุปกรณ์</t>
  </si>
  <si>
    <t>2.4 ค่าเสียโอกาสเงินทุนระยะยาว</t>
  </si>
  <si>
    <t>สุกรขุน</t>
  </si>
  <si>
    <t>ค่าเสียโอกาสเงินทุน</t>
  </si>
  <si>
    <t>โรงเรือน</t>
  </si>
  <si>
    <t>อุปกรณ์</t>
  </si>
  <si>
    <t>รวมค่าอาหารพ่อแม่พันธุ์/ปี/ฟาร์ม</t>
  </si>
  <si>
    <t>อัตราการสูญเสียถึงขุนขาย</t>
  </si>
  <si>
    <t>บาท/ฟาร์ม</t>
  </si>
  <si>
    <t>จำนวนสุกร</t>
  </si>
  <si>
    <t>แรงงานประจำ</t>
  </si>
  <si>
    <t>แรงงานจ้างชั่วคราว</t>
  </si>
  <si>
    <t>แรงงานครัวเรือน</t>
  </si>
  <si>
    <t>ค่าตอบแทน</t>
  </si>
  <si>
    <t>บาท/เดือน</t>
  </si>
  <si>
    <t>คน</t>
  </si>
  <si>
    <t>สัตวแพทย์/สัตวบาล</t>
  </si>
  <si>
    <t>บาท/ปี</t>
  </si>
  <si>
    <t>คู่</t>
  </si>
  <si>
    <t>รวมค่าตอบแทน</t>
  </si>
  <si>
    <t>บาท/เดือน/หน่วย</t>
  </si>
  <si>
    <t>ค่าสาธารณูปโภค</t>
  </si>
  <si>
    <t>ค่าไฟฟ้า</t>
  </si>
  <si>
    <t>ค่าน้ำประปา</t>
  </si>
  <si>
    <t>ค่าน้ำมัน</t>
  </si>
  <si>
    <t>ที่ดิน</t>
  </si>
  <si>
    <t>ไร่</t>
  </si>
  <si>
    <t>ภาษีเงินได้</t>
  </si>
  <si>
    <t>ค่าเช่าที่ดินใกล้เคียง</t>
  </si>
  <si>
    <t>บาท/ไร่</t>
  </si>
  <si>
    <t>อัตราดอกเบี้ยเงินฝากเผื่อเรียก</t>
  </si>
  <si>
    <t>อัตราดอกเบี้ยเงินกู้ ธกส</t>
  </si>
  <si>
    <t>% ต่อปี</t>
  </si>
  <si>
    <t>อัตราดอกเบี้ย</t>
  </si>
  <si>
    <t>รวมจำนวนสุกรทั้งปี</t>
  </si>
  <si>
    <t>ค่าโทรศัพท์</t>
  </si>
  <si>
    <t>ภาษีที่ดินและสิ่งปลูกสร้าง</t>
  </si>
  <si>
    <t>ภาษีอันประกอบการอันเป็นมลพิษ</t>
  </si>
  <si>
    <t>รวมค่าเสียโอกาสที่ดิน</t>
  </si>
  <si>
    <t>ค่าใชจ่ายอื่นๆ</t>
  </si>
  <si>
    <t>ค่าน้ำยาฆ่าเชื้อ</t>
  </si>
  <si>
    <t>รวมต้นทุนทั้งหมด</t>
  </si>
  <si>
    <t>ต่อตัว</t>
  </si>
  <si>
    <t>พันธุ์สัตว์</t>
  </si>
  <si>
    <t>2.3 ดอกเบี้ย</t>
  </si>
  <si>
    <t>เงินกู้</t>
  </si>
  <si>
    <t>ดอกเบี้ยจ่าย</t>
  </si>
  <si>
    <t>ราคาซื้อ</t>
  </si>
  <si>
    <t>ค่าพันธุ์ลูกสุกร</t>
  </si>
  <si>
    <t>1.2 ค่าพันธุ์สัตว์</t>
  </si>
  <si>
    <t>1.3 ค่าแรงงาน</t>
  </si>
  <si>
    <t>1.4 ค่าซ่อมบำรุง</t>
  </si>
  <si>
    <t>1.5 ค่าไฟฟ้าและพลังงาน</t>
  </si>
  <si>
    <t>1.6 ค่าวัคซีนและยาปฏิชีวนะ</t>
  </si>
  <si>
    <t>1.7 ค่าใช้จ่ายสิ้นเปลืองอื่นๆ</t>
  </si>
  <si>
    <t>1.8 ค่าเสียโอกาสเงินทุนระยะสั้น</t>
  </si>
  <si>
    <t>ต้นทุนการผลิต ลูกสุกร นน. 16 กก.</t>
  </si>
  <si>
    <t>อัตราส่วน</t>
  </si>
  <si>
    <t>ค่าใช้จ่ายลงทุน</t>
  </si>
  <si>
    <t>ค่าใช้จ่ายดำเนินงาน</t>
  </si>
  <si>
    <t>ปีที่ 0</t>
  </si>
  <si>
    <t>ปีที่ 1</t>
  </si>
  <si>
    <t>ปีที่ 2</t>
  </si>
  <si>
    <t>ปีที่ 3</t>
  </si>
  <si>
    <t>ปีที่ 4</t>
  </si>
  <si>
    <t>ปีที่ 5</t>
  </si>
  <si>
    <t>ปีที่ 6</t>
  </si>
  <si>
    <t>ปีที่ 7</t>
  </si>
  <si>
    <t>ปีที่ 8</t>
  </si>
  <si>
    <t>ปีที่ 9</t>
  </si>
  <si>
    <t>ปีที่ 10</t>
  </si>
  <si>
    <t>มูลค่าคงเหลิอเมื่อปิดโครงการ</t>
  </si>
  <si>
    <t>รวมค่าใช่จ่ายลงทุน</t>
  </si>
  <si>
    <t>โรงเรือนและสิ่งปลูกสร้าง</t>
  </si>
  <si>
    <t>เครื่องมือและอุปกรณ์</t>
  </si>
  <si>
    <t xml:space="preserve">การลงทุนผลิตสุกรขุน </t>
  </si>
  <si>
    <t>โรงเรือนระบบปิด ควบคุมอุณหภูมิ</t>
  </si>
  <si>
    <t>m3</t>
  </si>
  <si>
    <t>รวมค่าใช้จ่ายดำเนินงาน</t>
  </si>
  <si>
    <t>รายได้</t>
  </si>
  <si>
    <t>นน.เฉลี่ย</t>
  </si>
  <si>
    <t>ราคาขาย (บาท/กก.)</t>
  </si>
  <si>
    <t>รายได้จากการขายสุกรขุน</t>
  </si>
  <si>
    <t>รายได้จากขายมูลสุกร</t>
  </si>
  <si>
    <t>รายได้จากการขายสุกรคัดทิ้ง</t>
  </si>
  <si>
    <t>รวมรายได้</t>
  </si>
  <si>
    <t>รวมต้นทุน</t>
  </si>
  <si>
    <t>NPV</t>
  </si>
  <si>
    <t>IRR</t>
  </si>
  <si>
    <t>BCR</t>
  </si>
  <si>
    <t>PV cost</t>
  </si>
  <si>
    <t>PV bevefit</t>
  </si>
  <si>
    <t>Discount factor</t>
  </si>
  <si>
    <t>Year</t>
  </si>
  <si>
    <t>ต่อปี</t>
  </si>
  <si>
    <t>Net</t>
  </si>
  <si>
    <t>จำนวนสุกรขุน (% การสูญเสีย)</t>
  </si>
  <si>
    <t>MIRR</t>
  </si>
  <si>
    <t>SVTb</t>
  </si>
  <si>
    <t>SVTc</t>
  </si>
  <si>
    <t>มูลค่าปัจจุบันสุทธิของผลตอบแทน</t>
  </si>
  <si>
    <t>อัตราส่วนผลตอบแทนภายในโครงการ</t>
  </si>
  <si>
    <t>อัตราส่วนผลตอบแทนภายในโครงที่มีการปรับ</t>
  </si>
  <si>
    <t>การวิเคราะห์ความอ่อนไหวของโครงการ</t>
  </si>
  <si>
    <t>เท่า</t>
  </si>
  <si>
    <t>การเปลี่ยนแปลงด้านผลตอบแทน</t>
  </si>
  <si>
    <t>การเปลี่ยนแปลงด้านต้นทุน</t>
  </si>
  <si>
    <t>Payback period</t>
  </si>
  <si>
    <t>รายได้สุทธิสะสม</t>
  </si>
  <si>
    <t>Cumulative PV</t>
  </si>
  <si>
    <t>ปี</t>
  </si>
  <si>
    <t>Cash flow</t>
  </si>
  <si>
    <t>Present value</t>
  </si>
  <si>
    <t>Financial rate</t>
  </si>
  <si>
    <t>Reinvestment rate</t>
  </si>
  <si>
    <t>ภาษี</t>
  </si>
  <si>
    <t>รายได้สุทธิหลังหักภาษี</t>
  </si>
  <si>
    <r>
      <t xml:space="preserve">ข้อมูลสำหรับการวิเคราะห์ใส่ในช่อง </t>
    </r>
    <r>
      <rPr>
        <b/>
        <sz val="16"/>
        <color theme="9" tint="-0.249977111117893"/>
        <rFont val="TH Sarabun New"/>
        <family val="2"/>
      </rPr>
      <t>สีเขียว</t>
    </r>
  </si>
  <si>
    <t>NPV(E2,C28:M28)+B28</t>
  </si>
  <si>
    <t>=</t>
  </si>
  <si>
    <t>N34/N33</t>
  </si>
  <si>
    <t>(MATCH(0,B29:L29)-1)+(0-INDEX(B29:L29,MATCH(0,B29:L29)))/(@INDEX(B29:L29,MATCH(0,B29:L29)+1)-INDEX(B29:L29,MATCH(0,B29:L29)))</t>
  </si>
  <si>
    <t>(MATCH(0,B36:L36)-1)+(0-INDEX(B36:L36,MATCH(0,B36:L36)))/(@INDEX(B36:L36,MATCH(0,B36:L36)+1)-INDEX(B36:L36,MATCH(0,B36:L36)))</t>
  </si>
  <si>
    <t>IRR(B28:M28, )</t>
  </si>
  <si>
    <t>MIRR(B28:M28,E2,E3)</t>
  </si>
  <si>
    <t>C38/N34%</t>
  </si>
  <si>
    <t>N35/N33%</t>
  </si>
  <si>
    <t>ดัชนีกำไร (Profitability index: PI) or</t>
  </si>
  <si>
    <t>ปริมาณอาหารที่ใช้</t>
  </si>
  <si>
    <t>กก./ตัว</t>
  </si>
  <si>
    <t>ราคาซื้อลูกสุกรเฉลี่ย</t>
  </si>
  <si>
    <t>1.7 ค่าใช้จ่ายสิ้นเปลืองระบบ Biosecurity</t>
  </si>
  <si>
    <t>รายได้เหนือต้นทุนเงินสด (บาท/ตัว)</t>
  </si>
  <si>
    <t>รายได้เหนือต้นทุนผันแปร (บาท/ตัว)</t>
  </si>
  <si>
    <t>มูลค่าการขายสุกรขุน (บาท/ตัว)</t>
  </si>
  <si>
    <t>ราคาขายสุกรขุนมีชีวิต (บาท/กก.)</t>
  </si>
  <si>
    <t>น้ำหนักขายเฉลี่ย (กก.)</t>
  </si>
  <si>
    <t>รายได้จากผลพลอยได้ (บาท/ตัว)</t>
  </si>
  <si>
    <t>รวมรายได่้ทั้งหมด (บาท/ตัว)</t>
  </si>
  <si>
    <t>รายได้เหนือต้นทุนทั้งหมด (บาท/ตัว)</t>
  </si>
  <si>
    <t>รายได้เหนือต้นทุนเงินสด (บาท/กก.)</t>
  </si>
  <si>
    <t>รายได้เหนือต้นทุนผันแปร (บาท/กก.)</t>
  </si>
  <si>
    <t>รายได้เหนือต้นทุนทั้งหมด (บาท/กก.)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</si>
</sst>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_-[$฿-41E]* #,##0.00_-;\-[$฿-41E]* #,##0.00_-;_-[$฿-41E]* &quot;-&quot;??_-;_-@_-"/>
    <numFmt numFmtId="168" formatCode="0.000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color theme="1"/>
      <name val="TH Sarabun New"/>
      <family val="2"/>
    </font>
    <font>
      <sz val="14"/>
      <color theme="1"/>
      <name val="TH Sarabun New"/>
      <family val="2"/>
    </font>
    <font>
      <sz val="16"/>
      <name val="TH Sarabun New"/>
      <family val="2"/>
    </font>
    <font>
      <b/>
      <sz val="16"/>
      <name val="TH Sarabun New"/>
      <family val="2"/>
    </font>
    <font>
      <b/>
      <sz val="16"/>
      <color rgb="FFFF0000"/>
      <name val="TH Sarabun New"/>
      <family val="2"/>
    </font>
    <font>
      <sz val="8"/>
      <name val="Calibri"/>
      <family val="2"/>
      <scheme val="minor"/>
    </font>
    <font>
      <b/>
      <sz val="16"/>
      <color theme="0"/>
      <name val="TH Sarabun New"/>
      <family val="2"/>
    </font>
    <font>
      <sz val="16"/>
      <color theme="0"/>
      <name val="TH Sarabun New"/>
      <family val="2"/>
    </font>
    <font>
      <b/>
      <sz val="16"/>
      <color theme="9" tint="-0.249977111117893"/>
      <name val="TH Sarabun New"/>
      <family val="2"/>
    </font>
    <font>
      <b/>
      <sz val="18"/>
      <color theme="0"/>
      <name val="TH Sarabun New"/>
      <family val="2"/>
    </font>
    <font>
      <b/>
      <sz val="18"/>
      <color theme="1"/>
      <name val="TH Sarabun New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4F6228"/>
        <bgColor indexed="64"/>
      </patternFill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9">
    <xf numFmtId="0" fontId="0" fillId="0" borderId="0" xfId="0"/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6" fillId="3" borderId="1" xfId="0" applyFont="1" applyFill="1" applyBorder="1" applyAlignment="1">
      <alignment vertical="center"/>
    </xf>
    <xf numFmtId="165" fontId="6" fillId="0" borderId="1" xfId="1" applyNumberFormat="1" applyFont="1" applyBorder="1"/>
    <xf numFmtId="165" fontId="6" fillId="0" borderId="1" xfId="0" applyNumberFormat="1" applyFont="1" applyBorder="1"/>
    <xf numFmtId="3" fontId="6" fillId="3" borderId="1" xfId="0" applyNumberFormat="1" applyFont="1" applyFill="1" applyBorder="1"/>
    <xf numFmtId="165" fontId="6" fillId="3" borderId="1" xfId="0" applyNumberFormat="1" applyFont="1" applyFill="1" applyBorder="1"/>
    <xf numFmtId="0" fontId="6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5" fontId="6" fillId="3" borderId="1" xfId="1" applyNumberFormat="1" applyFont="1" applyFill="1" applyBorder="1"/>
    <xf numFmtId="0" fontId="2" fillId="0" borderId="3" xfId="0" applyFont="1" applyBorder="1" applyAlignment="1">
      <alignment horizontal="justify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6" fillId="0" borderId="3" xfId="0" applyFont="1" applyBorder="1"/>
    <xf numFmtId="0" fontId="6" fillId="3" borderId="1" xfId="0" applyFont="1" applyFill="1" applyBorder="1" applyAlignment="1"/>
    <xf numFmtId="0" fontId="8" fillId="0" borderId="0" xfId="0" applyFont="1"/>
    <xf numFmtId="0" fontId="6" fillId="0" borderId="0" xfId="0" applyFont="1"/>
    <xf numFmtId="0" fontId="6" fillId="3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164" fontId="6" fillId="2" borderId="0" xfId="1" applyFont="1" applyFill="1" applyAlignment="1"/>
    <xf numFmtId="0" fontId="10" fillId="0" borderId="0" xfId="0" applyFont="1"/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9" fillId="4" borderId="0" xfId="0" applyFont="1" applyFill="1"/>
    <xf numFmtId="0" fontId="6" fillId="4" borderId="0" xfId="0" applyFont="1" applyFill="1"/>
    <xf numFmtId="0" fontId="6" fillId="0" borderId="0" xfId="0" applyFont="1" applyFill="1"/>
    <xf numFmtId="0" fontId="6" fillId="3" borderId="0" xfId="0" applyFont="1" applyFill="1"/>
    <xf numFmtId="0" fontId="6" fillId="5" borderId="0" xfId="0" applyFont="1" applyFill="1"/>
    <xf numFmtId="2" fontId="6" fillId="0" borderId="0" xfId="0" applyNumberFormat="1" applyFont="1"/>
    <xf numFmtId="0" fontId="4" fillId="0" borderId="0" xfId="0" applyFont="1"/>
    <xf numFmtId="164" fontId="6" fillId="0" borderId="0" xfId="0" applyNumberFormat="1" applyFont="1"/>
    <xf numFmtId="164" fontId="10" fillId="0" borderId="0" xfId="0" applyNumberFormat="1" applyFont="1" applyFill="1"/>
    <xf numFmtId="0" fontId="4" fillId="0" borderId="1" xfId="0" applyFont="1" applyBorder="1"/>
    <xf numFmtId="164" fontId="6" fillId="0" borderId="1" xfId="0" applyNumberFormat="1" applyFont="1" applyBorder="1"/>
    <xf numFmtId="0" fontId="10" fillId="0" borderId="1" xfId="0" applyFont="1" applyBorder="1"/>
    <xf numFmtId="164" fontId="10" fillId="0" borderId="1" xfId="0" applyNumberFormat="1" applyFont="1" applyBorder="1"/>
    <xf numFmtId="0" fontId="8" fillId="0" borderId="1" xfId="0" applyFont="1" applyBorder="1"/>
    <xf numFmtId="0" fontId="6" fillId="3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10" fillId="3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164" fontId="10" fillId="0" borderId="1" xfId="0" applyNumberFormat="1" applyFont="1" applyFill="1" applyBorder="1"/>
    <xf numFmtId="0" fontId="4" fillId="4" borderId="0" xfId="0" applyFont="1" applyFill="1"/>
    <xf numFmtId="0" fontId="4" fillId="0" borderId="0" xfId="0" applyFont="1" applyFill="1"/>
    <xf numFmtId="164" fontId="6" fillId="0" borderId="0" xfId="1" applyFont="1"/>
    <xf numFmtId="164" fontId="4" fillId="0" borderId="0" xfId="1" applyFont="1"/>
    <xf numFmtId="2" fontId="10" fillId="4" borderId="0" xfId="0" applyNumberFormat="1" applyFont="1" applyFill="1"/>
    <xf numFmtId="165" fontId="10" fillId="0" borderId="0" xfId="1" applyNumberFormat="1" applyFont="1" applyFill="1"/>
    <xf numFmtId="166" fontId="6" fillId="0" borderId="0" xfId="1" applyNumberFormat="1" applyFont="1"/>
    <xf numFmtId="165" fontId="6" fillId="0" borderId="0" xfId="1" applyNumberFormat="1" applyFont="1"/>
    <xf numFmtId="165" fontId="6" fillId="0" borderId="0" xfId="1" applyNumberFormat="1" applyFont="1" applyAlignment="1"/>
    <xf numFmtId="164" fontId="10" fillId="0" borderId="0" xfId="1" applyFont="1"/>
    <xf numFmtId="165" fontId="10" fillId="0" borderId="0" xfId="1" applyNumberFormat="1" applyFont="1"/>
    <xf numFmtId="165" fontId="6" fillId="5" borderId="0" xfId="1" applyNumberFormat="1" applyFont="1" applyFill="1"/>
    <xf numFmtId="166" fontId="4" fillId="0" borderId="0" xfId="1" applyNumberFormat="1" applyFont="1"/>
    <xf numFmtId="165" fontId="6" fillId="0" borderId="0" xfId="0" applyNumberFormat="1" applyFont="1"/>
    <xf numFmtId="165" fontId="10" fillId="0" borderId="0" xfId="0" applyNumberFormat="1" applyFont="1"/>
    <xf numFmtId="164" fontId="10" fillId="0" borderId="0" xfId="1" applyNumberFormat="1" applyFont="1"/>
    <xf numFmtId="2" fontId="10" fillId="0" borderId="1" xfId="0" applyNumberFormat="1" applyFont="1" applyBorder="1"/>
    <xf numFmtId="3" fontId="3" fillId="0" borderId="1" xfId="0" applyNumberFormat="1" applyFont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/>
    </xf>
    <xf numFmtId="164" fontId="10" fillId="0" borderId="0" xfId="0" applyNumberFormat="1" applyFont="1"/>
    <xf numFmtId="0" fontId="10" fillId="4" borderId="1" xfId="0" applyFont="1" applyFill="1" applyBorder="1"/>
    <xf numFmtId="0" fontId="6" fillId="0" borderId="0" xfId="0" applyFont="1" applyAlignment="1">
      <alignment horizontal="right"/>
    </xf>
    <xf numFmtId="3" fontId="6" fillId="0" borderId="0" xfId="0" applyNumberFormat="1" applyFont="1"/>
    <xf numFmtId="3" fontId="4" fillId="0" borderId="0" xfId="0" applyNumberFormat="1" applyFont="1" applyAlignment="1">
      <alignment horizontal="center"/>
    </xf>
    <xf numFmtId="166" fontId="6" fillId="0" borderId="0" xfId="1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166" fontId="6" fillId="0" borderId="0" xfId="0" applyNumberFormat="1" applyFont="1"/>
    <xf numFmtId="166" fontId="6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Fill="1" applyBorder="1" applyAlignment="1">
      <alignment horizontal="justify" vertical="center" wrapText="1"/>
    </xf>
    <xf numFmtId="3" fontId="4" fillId="7" borderId="0" xfId="0" applyNumberFormat="1" applyFont="1" applyFill="1" applyAlignment="1">
      <alignment horizontal="center"/>
    </xf>
    <xf numFmtId="10" fontId="4" fillId="7" borderId="0" xfId="0" applyNumberFormat="1" applyFont="1" applyFill="1" applyAlignment="1">
      <alignment horizontal="center"/>
    </xf>
    <xf numFmtId="9" fontId="4" fillId="7" borderId="0" xfId="0" applyNumberFormat="1" applyFont="1" applyFill="1" applyAlignment="1">
      <alignment horizontal="center"/>
    </xf>
    <xf numFmtId="3" fontId="6" fillId="7" borderId="0" xfId="0" applyNumberFormat="1" applyFont="1" applyFill="1" applyAlignment="1">
      <alignment horizontal="right"/>
    </xf>
    <xf numFmtId="0" fontId="6" fillId="7" borderId="0" xfId="0" applyFont="1" applyFill="1" applyAlignment="1">
      <alignment horizontal="right"/>
    </xf>
    <xf numFmtId="0" fontId="6" fillId="7" borderId="0" xfId="0" applyFont="1" applyFill="1"/>
    <xf numFmtId="165" fontId="6" fillId="7" borderId="0" xfId="1" applyNumberFormat="1" applyFont="1" applyFill="1" applyAlignment="1">
      <alignment horizontal="center"/>
    </xf>
    <xf numFmtId="0" fontId="4" fillId="6" borderId="0" xfId="0" applyFont="1" applyFill="1"/>
    <xf numFmtId="0" fontId="4" fillId="6" borderId="0" xfId="0" applyFont="1" applyFill="1" applyAlignment="1">
      <alignment horizontal="center"/>
    </xf>
    <xf numFmtId="165" fontId="4" fillId="6" borderId="0" xfId="0" applyNumberFormat="1" applyFont="1" applyFill="1"/>
    <xf numFmtId="3" fontId="4" fillId="6" borderId="0" xfId="0" applyNumberFormat="1" applyFont="1" applyFill="1" applyAlignment="1">
      <alignment horizontal="center"/>
    </xf>
    <xf numFmtId="0" fontId="4" fillId="6" borderId="0" xfId="0" applyFont="1" applyFill="1" applyBorder="1" applyAlignment="1">
      <alignment horizontal="justify" vertical="center" wrapText="1"/>
    </xf>
    <xf numFmtId="3" fontId="4" fillId="6" borderId="0" xfId="0" applyNumberFormat="1" applyFont="1" applyFill="1" applyBorder="1" applyAlignment="1">
      <alignment horizontal="right" vertical="center" wrapText="1"/>
    </xf>
    <xf numFmtId="165" fontId="4" fillId="6" borderId="0" xfId="1" applyNumberFormat="1" applyFont="1" applyFill="1"/>
    <xf numFmtId="2" fontId="4" fillId="0" borderId="0" xfId="0" applyNumberFormat="1" applyFont="1" applyAlignment="1">
      <alignment horizontal="left"/>
    </xf>
    <xf numFmtId="0" fontId="15" fillId="8" borderId="0" xfId="0" applyFont="1" applyFill="1"/>
    <xf numFmtId="167" fontId="15" fillId="8" borderId="0" xfId="0" applyNumberFormat="1" applyFont="1" applyFill="1"/>
    <xf numFmtId="0" fontId="16" fillId="0" borderId="0" xfId="0" applyFont="1"/>
    <xf numFmtId="167" fontId="16" fillId="0" borderId="0" xfId="0" applyNumberFormat="1" applyFont="1"/>
    <xf numFmtId="2" fontId="15" fillId="8" borderId="0" xfId="0" applyNumberFormat="1" applyFont="1" applyFill="1" applyAlignment="1">
      <alignment horizontal="center"/>
    </xf>
    <xf numFmtId="2" fontId="16" fillId="0" borderId="0" xfId="0" applyNumberFormat="1" applyFont="1" applyAlignment="1">
      <alignment horizontal="center"/>
    </xf>
    <xf numFmtId="0" fontId="15" fillId="8" borderId="0" xfId="0" applyFont="1" applyFill="1" applyAlignment="1">
      <alignment horizontal="right"/>
    </xf>
    <xf numFmtId="0" fontId="16" fillId="0" borderId="0" xfId="0" applyFont="1" applyAlignment="1">
      <alignment horizontal="right"/>
    </xf>
    <xf numFmtId="9" fontId="15" fillId="8" borderId="0" xfId="0" applyNumberFormat="1" applyFont="1" applyFill="1" applyAlignment="1">
      <alignment horizontal="center"/>
    </xf>
    <xf numFmtId="9" fontId="16" fillId="0" borderId="0" xfId="0" applyNumberFormat="1" applyFont="1" applyAlignment="1">
      <alignment horizontal="center"/>
    </xf>
    <xf numFmtId="9" fontId="6" fillId="7" borderId="0" xfId="0" applyNumberFormat="1" applyFont="1" applyFill="1" applyAlignment="1">
      <alignment horizontal="right"/>
    </xf>
    <xf numFmtId="165" fontId="6" fillId="7" borderId="0" xfId="1" applyNumberFormat="1" applyFont="1" applyFill="1" applyAlignment="1">
      <alignment horizontal="right"/>
    </xf>
    <xf numFmtId="38" fontId="4" fillId="6" borderId="0" xfId="0" applyNumberFormat="1" applyFont="1" applyFill="1" applyAlignment="1">
      <alignment horizontal="center"/>
    </xf>
    <xf numFmtId="165" fontId="6" fillId="0" borderId="0" xfId="1" applyNumberFormat="1" applyFont="1" applyFill="1" applyAlignment="1">
      <alignment horizontal="center"/>
    </xf>
    <xf numFmtId="10" fontId="4" fillId="0" borderId="0" xfId="0" applyNumberFormat="1" applyFont="1" applyFill="1"/>
    <xf numFmtId="3" fontId="4" fillId="0" borderId="0" xfId="0" applyNumberFormat="1" applyFont="1" applyFill="1" applyAlignment="1">
      <alignment horizontal="center"/>
    </xf>
    <xf numFmtId="166" fontId="4" fillId="4" borderId="0" xfId="1" applyNumberFormat="1" applyFont="1" applyFill="1"/>
    <xf numFmtId="166" fontId="4" fillId="6" borderId="0" xfId="1" applyNumberFormat="1" applyFont="1" applyFill="1"/>
    <xf numFmtId="0" fontId="12" fillId="9" borderId="0" xfId="0" applyFont="1" applyFill="1"/>
    <xf numFmtId="166" fontId="13" fillId="9" borderId="0" xfId="1" applyNumberFormat="1" applyFont="1" applyFill="1"/>
    <xf numFmtId="0" fontId="6" fillId="6" borderId="0" xfId="0" applyFont="1" applyFill="1"/>
    <xf numFmtId="166" fontId="6" fillId="6" borderId="0" xfId="1" applyNumberFormat="1" applyFont="1" applyFill="1"/>
    <xf numFmtId="0" fontId="6" fillId="2" borderId="0" xfId="0" applyFont="1" applyFill="1"/>
    <xf numFmtId="166" fontId="6" fillId="2" borderId="0" xfId="1" applyNumberFormat="1" applyFont="1" applyFill="1"/>
    <xf numFmtId="2" fontId="6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4F62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33C60-2F24-AC48-8719-7DCCCA850A0B}">
  <dimension ref="A1:P27"/>
  <sheetViews>
    <sheetView zoomScaleNormal="100" workbookViewId="0">
      <pane ySplit="2" topLeftCell="A13" activePane="bottomLeft" state="frozen"/>
      <selection pane="bottomLeft" activeCell="C57" sqref="C57"/>
    </sheetView>
  </sheetViews>
  <sheetFormatPr defaultColWidth="10.6640625" defaultRowHeight="15.5" x14ac:dyDescent="0.35"/>
  <cols>
    <col min="1" max="1" width="23" customWidth="1"/>
    <col min="5" max="5" width="15.83203125" customWidth="1"/>
    <col min="11" max="11" width="11.5" bestFit="1" customWidth="1"/>
    <col min="12" max="12" width="13" bestFit="1" customWidth="1"/>
  </cols>
  <sheetData>
    <row r="1" spans="1:16" ht="47" customHeight="1" x14ac:dyDescent="0.8">
      <c r="A1" s="13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39</v>
      </c>
      <c r="I1" s="14" t="s">
        <v>8</v>
      </c>
      <c r="J1" s="15" t="s">
        <v>46</v>
      </c>
      <c r="K1" s="3" t="s">
        <v>41</v>
      </c>
      <c r="L1" s="3" t="s">
        <v>47</v>
      </c>
      <c r="M1" s="3" t="s">
        <v>48</v>
      </c>
      <c r="N1" s="3" t="s">
        <v>50</v>
      </c>
      <c r="O1" s="4" t="s">
        <v>49</v>
      </c>
      <c r="P1" s="4" t="s">
        <v>52</v>
      </c>
    </row>
    <row r="2" spans="1:16" ht="24" x14ac:dyDescent="0.8">
      <c r="A2" s="13"/>
      <c r="B2" s="14"/>
      <c r="C2" s="14"/>
      <c r="D2" s="14"/>
      <c r="E2" s="14"/>
      <c r="F2" s="14" t="s">
        <v>54</v>
      </c>
      <c r="G2" s="14" t="s">
        <v>7</v>
      </c>
      <c r="H2" s="14"/>
      <c r="I2" s="14" t="s">
        <v>53</v>
      </c>
      <c r="J2" s="19"/>
      <c r="K2" s="15" t="s">
        <v>55</v>
      </c>
      <c r="L2" s="19"/>
      <c r="M2" s="20">
        <f>'ค่าเสื่อม แรงงาน ดอกเบี้ย'!F27</f>
        <v>6.5</v>
      </c>
      <c r="N2" s="19" t="s">
        <v>51</v>
      </c>
      <c r="O2" s="19"/>
      <c r="P2" s="19" t="s">
        <v>56</v>
      </c>
    </row>
    <row r="3" spans="1:16" ht="24" x14ac:dyDescent="0.8">
      <c r="A3" s="8" t="s">
        <v>9</v>
      </c>
      <c r="B3" s="9">
        <v>1</v>
      </c>
      <c r="C3" s="9" t="s">
        <v>10</v>
      </c>
      <c r="D3" s="10">
        <v>3000000</v>
      </c>
      <c r="E3" s="9" t="s">
        <v>11</v>
      </c>
      <c r="F3" s="11">
        <f>B3*D3</f>
        <v>3000000</v>
      </c>
      <c r="G3" s="9">
        <v>20</v>
      </c>
      <c r="H3" s="9">
        <v>15</v>
      </c>
      <c r="I3" s="16">
        <f>F3*H3%</f>
        <v>450000</v>
      </c>
      <c r="J3" s="17">
        <v>1</v>
      </c>
      <c r="K3" s="21">
        <f>((F3/G3)+I3)*J3</f>
        <v>600000</v>
      </c>
      <c r="L3" s="21">
        <f>(F3+I3)/2</f>
        <v>1725000</v>
      </c>
      <c r="M3" s="22">
        <f>L3*$M$2%</f>
        <v>112125</v>
      </c>
      <c r="N3" s="22">
        <f>M3*J3</f>
        <v>112125</v>
      </c>
      <c r="O3" s="21">
        <v>3000</v>
      </c>
      <c r="P3" s="21">
        <f>O3*J3</f>
        <v>3000</v>
      </c>
    </row>
    <row r="4" spans="1:16" ht="24" x14ac:dyDescent="0.8">
      <c r="A4" s="8" t="s">
        <v>12</v>
      </c>
      <c r="B4" s="9">
        <v>10</v>
      </c>
      <c r="C4" s="9" t="s">
        <v>13</v>
      </c>
      <c r="D4" s="10">
        <v>10000</v>
      </c>
      <c r="E4" s="9" t="s">
        <v>14</v>
      </c>
      <c r="F4" s="11">
        <f t="shared" ref="F4:F26" si="0">B4*D4</f>
        <v>100000</v>
      </c>
      <c r="G4" s="9">
        <v>20</v>
      </c>
      <c r="H4" s="9">
        <v>15</v>
      </c>
      <c r="I4" s="16">
        <f t="shared" ref="I4:I26" si="1">F4*H4%</f>
        <v>15000</v>
      </c>
      <c r="J4" s="17">
        <v>1</v>
      </c>
      <c r="K4" s="21">
        <f t="shared" ref="K4:K26" si="2">((F4/G4)+I4)*J4</f>
        <v>20000</v>
      </c>
      <c r="L4" s="21">
        <f t="shared" ref="L4:L26" si="3">(F4+I4)/2</f>
        <v>57500</v>
      </c>
      <c r="M4" s="22">
        <f t="shared" ref="M4:M26" si="4">L4*$M$2%</f>
        <v>3737.5</v>
      </c>
      <c r="N4" s="22">
        <f t="shared" ref="N4:N26" si="5">M4*J4</f>
        <v>3737.5</v>
      </c>
      <c r="O4" s="21">
        <v>500</v>
      </c>
      <c r="P4" s="21">
        <v>500</v>
      </c>
    </row>
    <row r="5" spans="1:16" ht="48" x14ac:dyDescent="0.8">
      <c r="A5" s="8" t="s">
        <v>15</v>
      </c>
      <c r="B5" s="9">
        <v>1</v>
      </c>
      <c r="C5" s="9" t="s">
        <v>10</v>
      </c>
      <c r="D5" s="10">
        <v>2800000</v>
      </c>
      <c r="E5" s="9" t="s">
        <v>16</v>
      </c>
      <c r="F5" s="11">
        <f t="shared" si="0"/>
        <v>2800000</v>
      </c>
      <c r="G5" s="9">
        <v>20</v>
      </c>
      <c r="H5" s="9">
        <v>15</v>
      </c>
      <c r="I5" s="16">
        <f t="shared" si="1"/>
        <v>420000</v>
      </c>
      <c r="J5" s="17">
        <v>1</v>
      </c>
      <c r="K5" s="21">
        <f t="shared" si="2"/>
        <v>560000</v>
      </c>
      <c r="L5" s="21">
        <f t="shared" si="3"/>
        <v>1610000</v>
      </c>
      <c r="M5" s="22">
        <f t="shared" si="4"/>
        <v>104650</v>
      </c>
      <c r="N5" s="22">
        <f t="shared" si="5"/>
        <v>104650</v>
      </c>
      <c r="O5" s="21">
        <v>3000</v>
      </c>
      <c r="P5" s="21">
        <f t="shared" ref="O5:P26" si="6">O5*J5</f>
        <v>3000</v>
      </c>
    </row>
    <row r="6" spans="1:16" ht="24" x14ac:dyDescent="0.8">
      <c r="A6" s="8" t="s">
        <v>17</v>
      </c>
      <c r="B6" s="9">
        <v>70</v>
      </c>
      <c r="C6" s="9" t="s">
        <v>13</v>
      </c>
      <c r="D6" s="10">
        <v>60000</v>
      </c>
      <c r="E6" s="9" t="s">
        <v>18</v>
      </c>
      <c r="F6" s="11">
        <f t="shared" si="0"/>
        <v>4200000</v>
      </c>
      <c r="G6" s="9">
        <v>20</v>
      </c>
      <c r="H6" s="9">
        <v>5</v>
      </c>
      <c r="I6" s="16">
        <f t="shared" si="1"/>
        <v>210000</v>
      </c>
      <c r="J6" s="17">
        <v>1</v>
      </c>
      <c r="K6" s="21">
        <f t="shared" si="2"/>
        <v>420000</v>
      </c>
      <c r="L6" s="21">
        <f t="shared" si="3"/>
        <v>2205000</v>
      </c>
      <c r="M6" s="22">
        <f t="shared" si="4"/>
        <v>143325</v>
      </c>
      <c r="N6" s="22">
        <f t="shared" si="5"/>
        <v>143325</v>
      </c>
      <c r="O6" s="21">
        <v>3000</v>
      </c>
      <c r="P6" s="21">
        <f t="shared" si="6"/>
        <v>3000</v>
      </c>
    </row>
    <row r="7" spans="1:16" ht="24" x14ac:dyDescent="0.8">
      <c r="A7" s="8" t="s">
        <v>19</v>
      </c>
      <c r="B7" s="9">
        <v>2</v>
      </c>
      <c r="C7" s="9" t="s">
        <v>13</v>
      </c>
      <c r="D7" s="10">
        <v>40000</v>
      </c>
      <c r="E7" s="9" t="s">
        <v>20</v>
      </c>
      <c r="F7" s="11">
        <f t="shared" si="0"/>
        <v>80000</v>
      </c>
      <c r="G7" s="9">
        <v>20</v>
      </c>
      <c r="H7" s="9">
        <v>5</v>
      </c>
      <c r="I7" s="16">
        <f t="shared" si="1"/>
        <v>4000</v>
      </c>
      <c r="J7" s="17">
        <v>1</v>
      </c>
      <c r="K7" s="21">
        <f t="shared" si="2"/>
        <v>8000</v>
      </c>
      <c r="L7" s="21">
        <f t="shared" si="3"/>
        <v>42000</v>
      </c>
      <c r="M7" s="22">
        <f t="shared" si="4"/>
        <v>2730</v>
      </c>
      <c r="N7" s="22">
        <f t="shared" si="5"/>
        <v>2730</v>
      </c>
      <c r="O7" s="21">
        <v>500</v>
      </c>
      <c r="P7" s="21">
        <v>500</v>
      </c>
    </row>
    <row r="8" spans="1:16" ht="24" x14ac:dyDescent="0.8">
      <c r="A8" s="8" t="s">
        <v>21</v>
      </c>
      <c r="B8" s="9">
        <v>3</v>
      </c>
      <c r="C8" s="9" t="s">
        <v>13</v>
      </c>
      <c r="D8" s="10">
        <v>60000</v>
      </c>
      <c r="E8" s="9" t="s">
        <v>20</v>
      </c>
      <c r="F8" s="11">
        <f t="shared" si="0"/>
        <v>180000</v>
      </c>
      <c r="G8" s="9">
        <v>20</v>
      </c>
      <c r="H8" s="9">
        <v>5</v>
      </c>
      <c r="I8" s="16">
        <f t="shared" si="1"/>
        <v>9000</v>
      </c>
      <c r="J8" s="17">
        <v>1</v>
      </c>
      <c r="K8" s="21">
        <f t="shared" si="2"/>
        <v>18000</v>
      </c>
      <c r="L8" s="21">
        <f t="shared" si="3"/>
        <v>94500</v>
      </c>
      <c r="M8" s="22">
        <f t="shared" si="4"/>
        <v>6142.5</v>
      </c>
      <c r="N8" s="22">
        <f t="shared" si="5"/>
        <v>6142.5</v>
      </c>
      <c r="O8" s="21">
        <v>500</v>
      </c>
      <c r="P8" s="21">
        <v>500</v>
      </c>
    </row>
    <row r="9" spans="1:16" ht="24" x14ac:dyDescent="0.8">
      <c r="A9" s="8" t="s">
        <v>22</v>
      </c>
      <c r="B9" s="9">
        <v>1</v>
      </c>
      <c r="C9" s="9" t="s">
        <v>10</v>
      </c>
      <c r="D9" s="10">
        <v>500000</v>
      </c>
      <c r="E9" s="9" t="s">
        <v>20</v>
      </c>
      <c r="F9" s="11">
        <f t="shared" si="0"/>
        <v>500000</v>
      </c>
      <c r="G9" s="9">
        <v>20</v>
      </c>
      <c r="H9" s="9">
        <v>10</v>
      </c>
      <c r="I9" s="16">
        <f t="shared" si="1"/>
        <v>50000</v>
      </c>
      <c r="J9" s="17">
        <v>1</v>
      </c>
      <c r="K9" s="21">
        <f t="shared" si="2"/>
        <v>75000</v>
      </c>
      <c r="L9" s="21">
        <f t="shared" si="3"/>
        <v>275000</v>
      </c>
      <c r="M9" s="22">
        <f t="shared" si="4"/>
        <v>17875</v>
      </c>
      <c r="N9" s="22">
        <f t="shared" si="5"/>
        <v>17875</v>
      </c>
      <c r="O9" s="21">
        <v>3000</v>
      </c>
      <c r="P9" s="21">
        <v>3000</v>
      </c>
    </row>
    <row r="10" spans="1:16" ht="24" x14ac:dyDescent="0.8">
      <c r="A10" s="8" t="s">
        <v>23</v>
      </c>
      <c r="B10" s="9">
        <v>1</v>
      </c>
      <c r="C10" s="9" t="s">
        <v>13</v>
      </c>
      <c r="D10" s="10">
        <v>50000</v>
      </c>
      <c r="E10" s="9" t="s">
        <v>20</v>
      </c>
      <c r="F10" s="11">
        <f t="shared" si="0"/>
        <v>50000</v>
      </c>
      <c r="G10" s="9">
        <v>20</v>
      </c>
      <c r="H10" s="9">
        <v>0</v>
      </c>
      <c r="I10" s="16">
        <f t="shared" si="1"/>
        <v>0</v>
      </c>
      <c r="J10" s="17">
        <v>1</v>
      </c>
      <c r="K10" s="21">
        <f t="shared" si="2"/>
        <v>2500</v>
      </c>
      <c r="L10" s="21">
        <f t="shared" si="3"/>
        <v>25000</v>
      </c>
      <c r="M10" s="22">
        <f t="shared" si="4"/>
        <v>1625</v>
      </c>
      <c r="N10" s="22">
        <f t="shared" si="5"/>
        <v>1625</v>
      </c>
      <c r="O10" s="21">
        <f t="shared" si="6"/>
        <v>0</v>
      </c>
      <c r="P10" s="21">
        <f t="shared" si="6"/>
        <v>0</v>
      </c>
    </row>
    <row r="11" spans="1:16" ht="24" x14ac:dyDescent="0.8">
      <c r="A11" s="8" t="s">
        <v>24</v>
      </c>
      <c r="B11" s="9">
        <v>600</v>
      </c>
      <c r="C11" s="9" t="s">
        <v>25</v>
      </c>
      <c r="D11" s="9">
        <v>100</v>
      </c>
      <c r="E11" s="9" t="s">
        <v>20</v>
      </c>
      <c r="F11" s="11">
        <f t="shared" si="0"/>
        <v>60000</v>
      </c>
      <c r="G11" s="9">
        <v>10</v>
      </c>
      <c r="H11" s="9">
        <v>0</v>
      </c>
      <c r="I11" s="16">
        <f t="shared" si="1"/>
        <v>0</v>
      </c>
      <c r="J11" s="17">
        <v>1</v>
      </c>
      <c r="K11" s="21">
        <f t="shared" si="2"/>
        <v>6000</v>
      </c>
      <c r="L11" s="21">
        <f t="shared" si="3"/>
        <v>30000</v>
      </c>
      <c r="M11" s="22">
        <f t="shared" si="4"/>
        <v>1950</v>
      </c>
      <c r="N11" s="22">
        <f t="shared" si="5"/>
        <v>1950</v>
      </c>
      <c r="O11" s="21">
        <f t="shared" si="6"/>
        <v>0</v>
      </c>
      <c r="P11" s="21">
        <f t="shared" si="6"/>
        <v>0</v>
      </c>
    </row>
    <row r="12" spans="1:16" ht="24" x14ac:dyDescent="0.8">
      <c r="A12" s="8" t="s">
        <v>26</v>
      </c>
      <c r="B12" s="9">
        <v>3</v>
      </c>
      <c r="C12" s="9" t="s">
        <v>27</v>
      </c>
      <c r="D12" s="10">
        <v>50000</v>
      </c>
      <c r="E12" s="9" t="s">
        <v>20</v>
      </c>
      <c r="F12" s="11">
        <f t="shared" si="0"/>
        <v>150000</v>
      </c>
      <c r="G12" s="9">
        <v>20</v>
      </c>
      <c r="H12" s="9">
        <v>0</v>
      </c>
      <c r="I12" s="16">
        <f t="shared" si="1"/>
        <v>0</v>
      </c>
      <c r="J12" s="17">
        <v>1</v>
      </c>
      <c r="K12" s="21">
        <f t="shared" si="2"/>
        <v>7500</v>
      </c>
      <c r="L12" s="21">
        <f t="shared" si="3"/>
        <v>75000</v>
      </c>
      <c r="M12" s="22">
        <f t="shared" si="4"/>
        <v>4875</v>
      </c>
      <c r="N12" s="22">
        <f t="shared" si="5"/>
        <v>4875</v>
      </c>
      <c r="O12" s="21">
        <f t="shared" si="6"/>
        <v>0</v>
      </c>
      <c r="P12" s="21">
        <f t="shared" si="6"/>
        <v>0</v>
      </c>
    </row>
    <row r="13" spans="1:16" ht="24" x14ac:dyDescent="0.8">
      <c r="A13" s="8" t="s">
        <v>28</v>
      </c>
      <c r="B13" s="9">
        <v>1</v>
      </c>
      <c r="C13" s="9" t="s">
        <v>29</v>
      </c>
      <c r="D13" s="10">
        <v>400000</v>
      </c>
      <c r="E13" s="9" t="s">
        <v>20</v>
      </c>
      <c r="F13" s="11">
        <f t="shared" si="0"/>
        <v>400000</v>
      </c>
      <c r="G13" s="9">
        <v>20</v>
      </c>
      <c r="H13" s="9">
        <v>0</v>
      </c>
      <c r="I13" s="16">
        <f t="shared" si="1"/>
        <v>0</v>
      </c>
      <c r="J13" s="17">
        <v>1</v>
      </c>
      <c r="K13" s="21">
        <f t="shared" si="2"/>
        <v>20000</v>
      </c>
      <c r="L13" s="21">
        <f t="shared" si="3"/>
        <v>200000</v>
      </c>
      <c r="M13" s="22">
        <f t="shared" si="4"/>
        <v>13000</v>
      </c>
      <c r="N13" s="22">
        <f t="shared" si="5"/>
        <v>13000</v>
      </c>
      <c r="O13" s="21">
        <f t="shared" si="6"/>
        <v>0</v>
      </c>
      <c r="P13" s="21">
        <f t="shared" si="6"/>
        <v>0</v>
      </c>
    </row>
    <row r="14" spans="1:16" ht="24" x14ac:dyDescent="0.8">
      <c r="A14" s="8" t="s">
        <v>30</v>
      </c>
      <c r="B14" s="9">
        <v>2</v>
      </c>
      <c r="C14" s="9" t="s">
        <v>31</v>
      </c>
      <c r="D14" s="10">
        <v>180000</v>
      </c>
      <c r="E14" s="9" t="s">
        <v>20</v>
      </c>
      <c r="F14" s="11">
        <f t="shared" si="0"/>
        <v>360000</v>
      </c>
      <c r="G14" s="9">
        <v>10</v>
      </c>
      <c r="H14" s="9">
        <v>0</v>
      </c>
      <c r="I14" s="16">
        <f t="shared" si="1"/>
        <v>0</v>
      </c>
      <c r="J14" s="17">
        <v>1</v>
      </c>
      <c r="K14" s="21">
        <f t="shared" si="2"/>
        <v>36000</v>
      </c>
      <c r="L14" s="21">
        <f t="shared" si="3"/>
        <v>180000</v>
      </c>
      <c r="M14" s="22">
        <f t="shared" si="4"/>
        <v>11700</v>
      </c>
      <c r="N14" s="22">
        <f t="shared" si="5"/>
        <v>11700</v>
      </c>
      <c r="O14" s="21">
        <v>10000</v>
      </c>
      <c r="P14" s="21">
        <v>10000</v>
      </c>
    </row>
    <row r="15" spans="1:16" ht="24" x14ac:dyDescent="0.8">
      <c r="A15" s="8" t="s">
        <v>32</v>
      </c>
      <c r="B15" s="9">
        <v>1</v>
      </c>
      <c r="C15" s="9" t="s">
        <v>38</v>
      </c>
      <c r="D15" s="10">
        <v>150000</v>
      </c>
      <c r="E15" s="9" t="s">
        <v>20</v>
      </c>
      <c r="F15" s="11">
        <f t="shared" si="0"/>
        <v>150000</v>
      </c>
      <c r="G15" s="9">
        <v>15</v>
      </c>
      <c r="H15" s="9">
        <v>0</v>
      </c>
      <c r="I15" s="16">
        <f t="shared" si="1"/>
        <v>0</v>
      </c>
      <c r="J15" s="17">
        <v>1</v>
      </c>
      <c r="K15" s="21">
        <f t="shared" si="2"/>
        <v>10000</v>
      </c>
      <c r="L15" s="21">
        <f t="shared" si="3"/>
        <v>75000</v>
      </c>
      <c r="M15" s="22">
        <f t="shared" si="4"/>
        <v>4875</v>
      </c>
      <c r="N15" s="22">
        <f t="shared" si="5"/>
        <v>4875</v>
      </c>
      <c r="O15" s="9">
        <v>5000</v>
      </c>
      <c r="P15" s="21">
        <f t="shared" si="6"/>
        <v>5000</v>
      </c>
    </row>
    <row r="16" spans="1:16" ht="24" x14ac:dyDescent="0.8">
      <c r="A16" s="8" t="s">
        <v>33</v>
      </c>
      <c r="B16" s="9">
        <v>6</v>
      </c>
      <c r="C16" s="9" t="s">
        <v>29</v>
      </c>
      <c r="D16" s="10">
        <v>25000</v>
      </c>
      <c r="E16" s="9" t="s">
        <v>20</v>
      </c>
      <c r="F16" s="11">
        <f t="shared" si="0"/>
        <v>150000</v>
      </c>
      <c r="G16" s="9">
        <v>10</v>
      </c>
      <c r="H16" s="9">
        <v>0</v>
      </c>
      <c r="I16" s="16">
        <f t="shared" si="1"/>
        <v>0</v>
      </c>
      <c r="J16" s="17">
        <v>1</v>
      </c>
      <c r="K16" s="21">
        <f t="shared" si="2"/>
        <v>15000</v>
      </c>
      <c r="L16" s="21">
        <f t="shared" si="3"/>
        <v>75000</v>
      </c>
      <c r="M16" s="22">
        <f t="shared" si="4"/>
        <v>4875</v>
      </c>
      <c r="N16" s="22">
        <f t="shared" si="5"/>
        <v>4875</v>
      </c>
      <c r="O16" s="10">
        <v>2000</v>
      </c>
      <c r="P16" s="21">
        <f t="shared" si="6"/>
        <v>2000</v>
      </c>
    </row>
    <row r="17" spans="1:16" ht="24" x14ac:dyDescent="0.8">
      <c r="A17" s="8" t="s">
        <v>34</v>
      </c>
      <c r="B17" s="9">
        <v>5</v>
      </c>
      <c r="C17" s="9" t="s">
        <v>13</v>
      </c>
      <c r="D17" s="10">
        <v>25000</v>
      </c>
      <c r="E17" s="9" t="s">
        <v>35</v>
      </c>
      <c r="F17" s="11">
        <f t="shared" si="0"/>
        <v>125000</v>
      </c>
      <c r="G17" s="9">
        <v>15</v>
      </c>
      <c r="H17" s="9">
        <v>1</v>
      </c>
      <c r="I17" s="16">
        <f t="shared" si="1"/>
        <v>1250</v>
      </c>
      <c r="J17" s="17">
        <v>1</v>
      </c>
      <c r="K17" s="21">
        <f t="shared" si="2"/>
        <v>9583.3333333333339</v>
      </c>
      <c r="L17" s="21">
        <f t="shared" si="3"/>
        <v>63125</v>
      </c>
      <c r="M17" s="22">
        <f t="shared" si="4"/>
        <v>4103.125</v>
      </c>
      <c r="N17" s="22">
        <f t="shared" si="5"/>
        <v>4103.125</v>
      </c>
      <c r="O17" s="9">
        <v>0</v>
      </c>
      <c r="P17" s="21">
        <v>3000</v>
      </c>
    </row>
    <row r="18" spans="1:16" ht="24" x14ac:dyDescent="0.8">
      <c r="A18" s="8" t="s">
        <v>36</v>
      </c>
      <c r="B18" s="9">
        <v>1</v>
      </c>
      <c r="C18" s="9" t="s">
        <v>38</v>
      </c>
      <c r="D18" s="10">
        <v>300000</v>
      </c>
      <c r="E18" s="9" t="s">
        <v>20</v>
      </c>
      <c r="F18" s="11">
        <f t="shared" si="0"/>
        <v>300000</v>
      </c>
      <c r="G18" s="9">
        <v>10</v>
      </c>
      <c r="H18" s="9">
        <v>0</v>
      </c>
      <c r="I18" s="16">
        <f t="shared" si="1"/>
        <v>0</v>
      </c>
      <c r="J18" s="17">
        <v>1</v>
      </c>
      <c r="K18" s="21">
        <f t="shared" si="2"/>
        <v>30000</v>
      </c>
      <c r="L18" s="21">
        <f t="shared" si="3"/>
        <v>150000</v>
      </c>
      <c r="M18" s="22">
        <f t="shared" si="4"/>
        <v>9750</v>
      </c>
      <c r="N18" s="22">
        <f t="shared" si="5"/>
        <v>9750</v>
      </c>
      <c r="O18" s="9">
        <v>500</v>
      </c>
      <c r="P18" s="21">
        <f t="shared" si="6"/>
        <v>500</v>
      </c>
    </row>
    <row r="19" spans="1:16" ht="24" x14ac:dyDescent="0.8">
      <c r="A19" s="25" t="s">
        <v>37</v>
      </c>
      <c r="B19" s="26">
        <v>2</v>
      </c>
      <c r="C19" s="26" t="s">
        <v>38</v>
      </c>
      <c r="D19" s="27">
        <v>250000</v>
      </c>
      <c r="E19" s="26" t="s">
        <v>20</v>
      </c>
      <c r="F19" s="11">
        <f t="shared" si="0"/>
        <v>500000</v>
      </c>
      <c r="G19" s="9">
        <v>10</v>
      </c>
      <c r="H19" s="9">
        <v>5</v>
      </c>
      <c r="I19" s="16">
        <f t="shared" si="1"/>
        <v>25000</v>
      </c>
      <c r="J19" s="17">
        <v>1</v>
      </c>
      <c r="K19" s="21">
        <f t="shared" si="2"/>
        <v>75000</v>
      </c>
      <c r="L19" s="21">
        <f t="shared" si="3"/>
        <v>262500</v>
      </c>
      <c r="M19" s="22">
        <f t="shared" si="4"/>
        <v>17062.5</v>
      </c>
      <c r="N19" s="22">
        <f t="shared" si="5"/>
        <v>17062.5</v>
      </c>
      <c r="O19" s="10">
        <v>3000</v>
      </c>
      <c r="P19" s="21">
        <f t="shared" si="6"/>
        <v>3000</v>
      </c>
    </row>
    <row r="20" spans="1:16" ht="24" x14ac:dyDescent="0.8">
      <c r="A20" s="28" t="s">
        <v>57</v>
      </c>
      <c r="B20" s="29">
        <v>1</v>
      </c>
      <c r="C20" s="29" t="s">
        <v>45</v>
      </c>
      <c r="D20" s="30">
        <v>6500</v>
      </c>
      <c r="E20" s="29" t="s">
        <v>20</v>
      </c>
      <c r="F20" s="11">
        <f t="shared" si="0"/>
        <v>6500</v>
      </c>
      <c r="G20" s="9">
        <v>10</v>
      </c>
      <c r="H20" s="9">
        <v>5</v>
      </c>
      <c r="I20" s="16">
        <f t="shared" si="1"/>
        <v>325</v>
      </c>
      <c r="J20" s="17">
        <v>1</v>
      </c>
      <c r="K20" s="21">
        <f t="shared" ref="K20:K24" si="7">((F20/G20)+I20)*J20</f>
        <v>975</v>
      </c>
      <c r="L20" s="21">
        <f t="shared" ref="L20:L24" si="8">(F20+I20)/2</f>
        <v>3412.5</v>
      </c>
      <c r="M20" s="22">
        <f t="shared" si="4"/>
        <v>221.8125</v>
      </c>
      <c r="N20" s="22">
        <f t="shared" ref="N20:N24" si="9">M20*J20</f>
        <v>221.8125</v>
      </c>
      <c r="O20" s="10">
        <v>0</v>
      </c>
      <c r="P20" s="21">
        <f t="shared" si="6"/>
        <v>0</v>
      </c>
    </row>
    <row r="21" spans="1:16" ht="24" x14ac:dyDescent="0.8">
      <c r="A21" s="28" t="s">
        <v>58</v>
      </c>
      <c r="B21" s="29">
        <v>1</v>
      </c>
      <c r="C21" s="26" t="s">
        <v>38</v>
      </c>
      <c r="D21" s="30">
        <v>900000</v>
      </c>
      <c r="E21" s="29" t="s">
        <v>20</v>
      </c>
      <c r="F21" s="11">
        <f t="shared" si="0"/>
        <v>900000</v>
      </c>
      <c r="G21" s="9">
        <v>15</v>
      </c>
      <c r="H21" s="9">
        <v>2</v>
      </c>
      <c r="I21" s="16">
        <f t="shared" si="1"/>
        <v>18000</v>
      </c>
      <c r="J21" s="17">
        <v>1</v>
      </c>
      <c r="K21" s="21">
        <f t="shared" si="7"/>
        <v>78000</v>
      </c>
      <c r="L21" s="21">
        <f t="shared" si="8"/>
        <v>459000</v>
      </c>
      <c r="M21" s="22">
        <f t="shared" si="4"/>
        <v>29835</v>
      </c>
      <c r="N21" s="22">
        <f t="shared" si="9"/>
        <v>29835</v>
      </c>
      <c r="O21" s="10">
        <v>500</v>
      </c>
      <c r="P21" s="21">
        <f t="shared" si="6"/>
        <v>500</v>
      </c>
    </row>
    <row r="22" spans="1:16" ht="24" x14ac:dyDescent="0.8">
      <c r="A22" s="28" t="s">
        <v>59</v>
      </c>
      <c r="B22" s="29">
        <v>1</v>
      </c>
      <c r="C22" s="29" t="s">
        <v>45</v>
      </c>
      <c r="D22" s="30">
        <v>40000</v>
      </c>
      <c r="E22" s="29" t="s">
        <v>11</v>
      </c>
      <c r="F22" s="11">
        <f t="shared" si="0"/>
        <v>40000</v>
      </c>
      <c r="G22" s="9">
        <v>15</v>
      </c>
      <c r="H22" s="9">
        <v>10</v>
      </c>
      <c r="I22" s="16">
        <f t="shared" si="1"/>
        <v>4000</v>
      </c>
      <c r="J22" s="17">
        <v>1</v>
      </c>
      <c r="K22" s="21">
        <f t="shared" si="7"/>
        <v>6666.6666666666661</v>
      </c>
      <c r="L22" s="21">
        <f t="shared" si="8"/>
        <v>22000</v>
      </c>
      <c r="M22" s="22">
        <f t="shared" si="4"/>
        <v>1430</v>
      </c>
      <c r="N22" s="22">
        <f t="shared" si="9"/>
        <v>1430</v>
      </c>
      <c r="O22" s="10">
        <v>500</v>
      </c>
      <c r="P22" s="21">
        <f t="shared" si="6"/>
        <v>500</v>
      </c>
    </row>
    <row r="23" spans="1:16" ht="24" x14ac:dyDescent="0.8">
      <c r="A23" s="28" t="s">
        <v>60</v>
      </c>
      <c r="B23" s="29">
        <v>1</v>
      </c>
      <c r="C23" s="29" t="s">
        <v>45</v>
      </c>
      <c r="D23" s="30">
        <v>75000</v>
      </c>
      <c r="E23" s="29" t="s">
        <v>61</v>
      </c>
      <c r="F23" s="11">
        <f t="shared" si="0"/>
        <v>75000</v>
      </c>
      <c r="G23" s="9">
        <v>15</v>
      </c>
      <c r="H23" s="9">
        <v>10</v>
      </c>
      <c r="I23" s="16">
        <f t="shared" si="1"/>
        <v>7500</v>
      </c>
      <c r="J23" s="17">
        <v>1</v>
      </c>
      <c r="K23" s="21">
        <f t="shared" si="7"/>
        <v>12500</v>
      </c>
      <c r="L23" s="21">
        <f t="shared" si="8"/>
        <v>41250</v>
      </c>
      <c r="M23" s="22">
        <f t="shared" si="4"/>
        <v>2681.25</v>
      </c>
      <c r="N23" s="22">
        <f t="shared" si="9"/>
        <v>2681.25</v>
      </c>
      <c r="O23" s="10">
        <v>500</v>
      </c>
      <c r="P23" s="21">
        <f t="shared" si="6"/>
        <v>500</v>
      </c>
    </row>
    <row r="24" spans="1:16" ht="24" x14ac:dyDescent="0.8">
      <c r="A24" s="32" t="s">
        <v>62</v>
      </c>
      <c r="B24" s="29">
        <v>2</v>
      </c>
      <c r="C24" s="29" t="s">
        <v>45</v>
      </c>
      <c r="D24" s="33">
        <v>5000</v>
      </c>
      <c r="E24" s="6" t="s">
        <v>20</v>
      </c>
      <c r="F24" s="11">
        <f t="shared" si="0"/>
        <v>10000</v>
      </c>
      <c r="G24" s="9">
        <v>10</v>
      </c>
      <c r="H24" s="9">
        <v>5</v>
      </c>
      <c r="I24" s="16">
        <f t="shared" si="1"/>
        <v>500</v>
      </c>
      <c r="J24" s="17">
        <v>1</v>
      </c>
      <c r="K24" s="21">
        <f t="shared" si="7"/>
        <v>1500</v>
      </c>
      <c r="L24" s="21">
        <f t="shared" si="8"/>
        <v>5250</v>
      </c>
      <c r="M24" s="22">
        <f t="shared" si="4"/>
        <v>341.25</v>
      </c>
      <c r="N24" s="22">
        <f t="shared" si="9"/>
        <v>341.25</v>
      </c>
      <c r="O24" s="10">
        <v>100</v>
      </c>
      <c r="P24" s="21">
        <f t="shared" si="6"/>
        <v>100</v>
      </c>
    </row>
    <row r="25" spans="1:16" ht="24" x14ac:dyDescent="0.8">
      <c r="A25" s="5" t="s">
        <v>42</v>
      </c>
      <c r="B25" s="6">
        <v>1</v>
      </c>
      <c r="C25" s="6" t="s">
        <v>44</v>
      </c>
      <c r="D25" s="7">
        <v>750000</v>
      </c>
      <c r="E25" s="6" t="s">
        <v>20</v>
      </c>
      <c r="F25" s="11">
        <f t="shared" si="0"/>
        <v>750000</v>
      </c>
      <c r="G25" s="9">
        <v>15</v>
      </c>
      <c r="H25" s="9">
        <v>10</v>
      </c>
      <c r="I25" s="16">
        <f t="shared" si="1"/>
        <v>75000</v>
      </c>
      <c r="J25" s="17">
        <v>0.6</v>
      </c>
      <c r="K25" s="21">
        <f t="shared" si="2"/>
        <v>75000</v>
      </c>
      <c r="L25" s="21">
        <f t="shared" si="3"/>
        <v>412500</v>
      </c>
      <c r="M25" s="22">
        <f t="shared" si="4"/>
        <v>26812.5</v>
      </c>
      <c r="N25" s="22">
        <f t="shared" si="5"/>
        <v>16087.5</v>
      </c>
      <c r="O25" s="17">
        <v>20000</v>
      </c>
      <c r="P25" s="21">
        <f t="shared" si="6"/>
        <v>12000</v>
      </c>
    </row>
    <row r="26" spans="1:16" ht="24" x14ac:dyDescent="0.8">
      <c r="A26" s="8" t="s">
        <v>43</v>
      </c>
      <c r="B26" s="9">
        <v>1</v>
      </c>
      <c r="C26" s="9" t="s">
        <v>44</v>
      </c>
      <c r="D26" s="10">
        <v>50000</v>
      </c>
      <c r="E26" s="9" t="s">
        <v>20</v>
      </c>
      <c r="F26" s="11">
        <f t="shared" si="0"/>
        <v>50000</v>
      </c>
      <c r="G26" s="9">
        <v>10</v>
      </c>
      <c r="H26" s="9">
        <v>20</v>
      </c>
      <c r="I26" s="16">
        <f t="shared" si="1"/>
        <v>10000</v>
      </c>
      <c r="J26" s="17">
        <v>0.8</v>
      </c>
      <c r="K26" s="21">
        <f t="shared" si="2"/>
        <v>12000</v>
      </c>
      <c r="L26" s="21">
        <f t="shared" si="3"/>
        <v>30000</v>
      </c>
      <c r="M26" s="22">
        <f t="shared" si="4"/>
        <v>1950</v>
      </c>
      <c r="N26" s="22">
        <f t="shared" si="5"/>
        <v>1560</v>
      </c>
      <c r="O26" s="17">
        <v>5000</v>
      </c>
      <c r="P26" s="21">
        <f t="shared" si="6"/>
        <v>4000</v>
      </c>
    </row>
    <row r="27" spans="1:16" ht="24" x14ac:dyDescent="0.8">
      <c r="A27" s="12" t="s">
        <v>40</v>
      </c>
      <c r="B27" s="19"/>
      <c r="C27" s="19"/>
      <c r="D27" s="19"/>
      <c r="E27" s="19"/>
      <c r="F27" s="23">
        <f>SUM(F3:F26)</f>
        <v>14936500</v>
      </c>
      <c r="G27" s="19"/>
      <c r="H27" s="19"/>
      <c r="I27" s="19"/>
      <c r="J27" s="19"/>
      <c r="K27" s="24">
        <f>SUM(K3:K26)</f>
        <v>2099225</v>
      </c>
      <c r="L27" s="19"/>
      <c r="M27" s="19"/>
      <c r="N27" s="24">
        <f>SUM(N3:N26)</f>
        <v>516557.4375</v>
      </c>
      <c r="O27" s="19"/>
      <c r="P27" s="31">
        <f>SUM(P3:P26)</f>
        <v>54600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10C7C-EDF7-804F-B6AE-7632F8C9A8ED}">
  <dimension ref="A1:P23"/>
  <sheetViews>
    <sheetView workbookViewId="0">
      <selection activeCell="F22" sqref="A3:F22"/>
    </sheetView>
  </sheetViews>
  <sheetFormatPr defaultColWidth="10.6640625" defaultRowHeight="15.5" x14ac:dyDescent="0.35"/>
  <cols>
    <col min="1" max="1" width="26.5" customWidth="1"/>
    <col min="7" max="7" width="10.83203125" style="35"/>
  </cols>
  <sheetData>
    <row r="1" spans="1:16" ht="72" x14ac:dyDescent="0.8">
      <c r="A1" s="13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39</v>
      </c>
      <c r="I1" s="14" t="s">
        <v>8</v>
      </c>
      <c r="J1" s="15" t="s">
        <v>46</v>
      </c>
      <c r="K1" s="3" t="s">
        <v>41</v>
      </c>
      <c r="L1" s="3" t="s">
        <v>47</v>
      </c>
      <c r="M1" s="3" t="s">
        <v>48</v>
      </c>
      <c r="N1" s="3" t="s">
        <v>50</v>
      </c>
      <c r="O1" s="4" t="s">
        <v>49</v>
      </c>
      <c r="P1" s="4" t="s">
        <v>52</v>
      </c>
    </row>
    <row r="2" spans="1:16" ht="24" x14ac:dyDescent="0.8">
      <c r="A2" s="13"/>
      <c r="B2" s="14"/>
      <c r="C2" s="14"/>
      <c r="D2" s="14"/>
      <c r="E2" s="14"/>
      <c r="F2" s="14" t="s">
        <v>54</v>
      </c>
      <c r="G2" s="14" t="s">
        <v>7</v>
      </c>
      <c r="H2" s="14"/>
      <c r="I2" s="14" t="s">
        <v>53</v>
      </c>
      <c r="J2" s="19"/>
      <c r="K2" s="15" t="s">
        <v>55</v>
      </c>
      <c r="L2" s="19"/>
      <c r="M2" s="37">
        <f>'ค่าเสื่อม แรงงาน ดอกเบี้ย'!F27</f>
        <v>6.5</v>
      </c>
      <c r="N2" s="19" t="s">
        <v>51</v>
      </c>
      <c r="O2" s="19"/>
      <c r="P2" s="19" t="s">
        <v>56</v>
      </c>
    </row>
    <row r="3" spans="1:16" ht="24" x14ac:dyDescent="0.8">
      <c r="A3" s="1" t="s">
        <v>63</v>
      </c>
      <c r="B3" s="1">
        <v>4</v>
      </c>
      <c r="C3" s="1" t="s">
        <v>45</v>
      </c>
      <c r="D3" s="34">
        <v>9000</v>
      </c>
      <c r="E3" s="1" t="s">
        <v>20</v>
      </c>
      <c r="F3" s="85">
        <f>B3*D3</f>
        <v>36000</v>
      </c>
      <c r="G3" s="2">
        <v>5</v>
      </c>
      <c r="H3" s="19">
        <v>10</v>
      </c>
      <c r="I3" s="16">
        <f>F3*H3%</f>
        <v>3600</v>
      </c>
      <c r="J3" s="17">
        <v>1</v>
      </c>
      <c r="K3" s="21">
        <f>(F3-I3)/G3*J3</f>
        <v>6480</v>
      </c>
      <c r="L3" s="21">
        <f>(F3+I3)/2</f>
        <v>19800</v>
      </c>
      <c r="M3" s="22">
        <f>L3*$M$2%</f>
        <v>1287</v>
      </c>
      <c r="N3" s="22">
        <f>M3*J3</f>
        <v>1287</v>
      </c>
      <c r="O3" s="10">
        <v>300</v>
      </c>
      <c r="P3" s="21">
        <f>O3*J3</f>
        <v>300</v>
      </c>
    </row>
    <row r="4" spans="1:16" ht="24" x14ac:dyDescent="0.8">
      <c r="A4" s="1" t="s">
        <v>64</v>
      </c>
      <c r="B4" s="1">
        <v>24</v>
      </c>
      <c r="C4" s="1" t="s">
        <v>45</v>
      </c>
      <c r="D4" s="34">
        <v>15000</v>
      </c>
      <c r="E4" s="1" t="s">
        <v>20</v>
      </c>
      <c r="F4" s="85">
        <f t="shared" ref="F4:F22" si="0">B4*D4</f>
        <v>360000</v>
      </c>
      <c r="G4" s="2">
        <v>2</v>
      </c>
      <c r="H4" s="19"/>
      <c r="I4" s="16">
        <f t="shared" ref="I4:I18" si="1">F4*H4%</f>
        <v>0</v>
      </c>
      <c r="J4" s="17">
        <v>1</v>
      </c>
      <c r="K4" s="21">
        <f t="shared" ref="K4:K22" si="2">(F4-I4)/G4*J4</f>
        <v>180000</v>
      </c>
      <c r="L4" s="21">
        <f t="shared" ref="L4:L22" si="3">(F4+I4)/2</f>
        <v>180000</v>
      </c>
      <c r="M4" s="22">
        <f t="shared" ref="M4:M22" si="4">L4*$M$2%</f>
        <v>11700</v>
      </c>
      <c r="N4" s="22">
        <f t="shared" ref="N4:N18" si="5">M4*J4</f>
        <v>11700</v>
      </c>
      <c r="O4" s="18">
        <v>200</v>
      </c>
      <c r="P4" s="21">
        <f>O4*J4</f>
        <v>200</v>
      </c>
    </row>
    <row r="5" spans="1:16" ht="24" x14ac:dyDescent="0.8">
      <c r="A5" s="1" t="s">
        <v>65</v>
      </c>
      <c r="B5" s="1">
        <v>5</v>
      </c>
      <c r="C5" s="1" t="s">
        <v>66</v>
      </c>
      <c r="D5" s="1">
        <v>300</v>
      </c>
      <c r="E5" s="1" t="s">
        <v>20</v>
      </c>
      <c r="F5" s="85">
        <f t="shared" si="0"/>
        <v>1500</v>
      </c>
      <c r="G5" s="2">
        <v>2</v>
      </c>
      <c r="H5" s="19"/>
      <c r="I5" s="16">
        <f t="shared" si="1"/>
        <v>0</v>
      </c>
      <c r="J5" s="17">
        <v>1</v>
      </c>
      <c r="K5" s="21">
        <f t="shared" si="2"/>
        <v>750</v>
      </c>
      <c r="L5" s="21">
        <f t="shared" si="3"/>
        <v>750</v>
      </c>
      <c r="M5" s="22">
        <f t="shared" si="4"/>
        <v>48.75</v>
      </c>
      <c r="N5" s="22">
        <f t="shared" si="5"/>
        <v>48.75</v>
      </c>
      <c r="O5" s="36"/>
      <c r="P5" s="19"/>
    </row>
    <row r="6" spans="1:16" ht="24" x14ac:dyDescent="0.8">
      <c r="A6" s="1" t="s">
        <v>67</v>
      </c>
      <c r="B6" s="1">
        <v>5</v>
      </c>
      <c r="C6" s="1" t="s">
        <v>44</v>
      </c>
      <c r="D6" s="34">
        <v>1500</v>
      </c>
      <c r="E6" s="1" t="s">
        <v>68</v>
      </c>
      <c r="F6" s="85">
        <f t="shared" si="0"/>
        <v>7500</v>
      </c>
      <c r="G6" s="2">
        <v>5</v>
      </c>
      <c r="H6" s="19">
        <v>1</v>
      </c>
      <c r="I6" s="16">
        <f t="shared" si="1"/>
        <v>75</v>
      </c>
      <c r="J6" s="17">
        <v>1</v>
      </c>
      <c r="K6" s="21">
        <f t="shared" si="2"/>
        <v>1485</v>
      </c>
      <c r="L6" s="21">
        <f t="shared" si="3"/>
        <v>3787.5</v>
      </c>
      <c r="M6" s="22">
        <f t="shared" si="4"/>
        <v>246.1875</v>
      </c>
      <c r="N6" s="22">
        <f t="shared" si="5"/>
        <v>246.1875</v>
      </c>
      <c r="O6" s="19"/>
      <c r="P6" s="19"/>
    </row>
    <row r="7" spans="1:16" ht="24" x14ac:dyDescent="0.8">
      <c r="A7" s="1" t="s">
        <v>69</v>
      </c>
      <c r="B7" s="1">
        <v>10</v>
      </c>
      <c r="C7" s="1" t="s">
        <v>44</v>
      </c>
      <c r="D7" s="34">
        <v>3000</v>
      </c>
      <c r="E7" s="1" t="s">
        <v>20</v>
      </c>
      <c r="F7" s="85">
        <f t="shared" si="0"/>
        <v>30000</v>
      </c>
      <c r="G7" s="2">
        <v>5</v>
      </c>
      <c r="H7" s="19">
        <v>5</v>
      </c>
      <c r="I7" s="16">
        <f t="shared" si="1"/>
        <v>1500</v>
      </c>
      <c r="J7" s="17">
        <v>1</v>
      </c>
      <c r="K7" s="21">
        <f t="shared" si="2"/>
        <v>5700</v>
      </c>
      <c r="L7" s="21">
        <f t="shared" si="3"/>
        <v>15750</v>
      </c>
      <c r="M7" s="22">
        <f t="shared" si="4"/>
        <v>1023.75</v>
      </c>
      <c r="N7" s="22">
        <f t="shared" si="5"/>
        <v>1023.75</v>
      </c>
      <c r="O7" s="19"/>
      <c r="P7" s="19"/>
    </row>
    <row r="8" spans="1:16" ht="24" x14ac:dyDescent="0.8">
      <c r="A8" s="1" t="s">
        <v>70</v>
      </c>
      <c r="B8" s="1">
        <v>4</v>
      </c>
      <c r="C8" s="1" t="s">
        <v>44</v>
      </c>
      <c r="D8" s="34">
        <v>1900</v>
      </c>
      <c r="E8" s="1" t="s">
        <v>20</v>
      </c>
      <c r="F8" s="85">
        <f t="shared" si="0"/>
        <v>7600</v>
      </c>
      <c r="G8" s="2">
        <v>2</v>
      </c>
      <c r="H8" s="19">
        <v>1</v>
      </c>
      <c r="I8" s="16">
        <f t="shared" si="1"/>
        <v>76</v>
      </c>
      <c r="J8" s="17">
        <v>1</v>
      </c>
      <c r="K8" s="21">
        <f t="shared" si="2"/>
        <v>3762</v>
      </c>
      <c r="L8" s="21">
        <f t="shared" si="3"/>
        <v>3838</v>
      </c>
      <c r="M8" s="22">
        <f t="shared" si="4"/>
        <v>249.47</v>
      </c>
      <c r="N8" s="22">
        <f t="shared" si="5"/>
        <v>249.47</v>
      </c>
      <c r="O8" s="19"/>
      <c r="P8" s="19"/>
    </row>
    <row r="9" spans="1:16" ht="24" x14ac:dyDescent="0.8">
      <c r="A9" s="1" t="s">
        <v>71</v>
      </c>
      <c r="B9" s="1">
        <v>2</v>
      </c>
      <c r="C9" s="1" t="s">
        <v>45</v>
      </c>
      <c r="D9" s="34">
        <v>15000</v>
      </c>
      <c r="E9" s="1" t="s">
        <v>20</v>
      </c>
      <c r="F9" s="85">
        <f t="shared" si="0"/>
        <v>30000</v>
      </c>
      <c r="G9" s="2">
        <v>5</v>
      </c>
      <c r="H9" s="19">
        <v>1</v>
      </c>
      <c r="I9" s="16">
        <f t="shared" si="1"/>
        <v>300</v>
      </c>
      <c r="J9" s="17">
        <v>1</v>
      </c>
      <c r="K9" s="21">
        <f t="shared" si="2"/>
        <v>5940</v>
      </c>
      <c r="L9" s="21">
        <f t="shared" si="3"/>
        <v>15150</v>
      </c>
      <c r="M9" s="22">
        <f t="shared" si="4"/>
        <v>984.75</v>
      </c>
      <c r="N9" s="22">
        <f t="shared" si="5"/>
        <v>984.75</v>
      </c>
      <c r="O9" s="19"/>
      <c r="P9" s="19"/>
    </row>
    <row r="10" spans="1:16" ht="24" x14ac:dyDescent="0.8">
      <c r="A10" s="1" t="s">
        <v>72</v>
      </c>
      <c r="B10" s="1">
        <v>15</v>
      </c>
      <c r="C10" s="1" t="s">
        <v>66</v>
      </c>
      <c r="D10" s="1">
        <v>170</v>
      </c>
      <c r="E10" s="1" t="s">
        <v>20</v>
      </c>
      <c r="F10" s="85">
        <f t="shared" si="0"/>
        <v>2550</v>
      </c>
      <c r="G10" s="2">
        <v>2</v>
      </c>
      <c r="H10" s="19"/>
      <c r="I10" s="16">
        <f t="shared" si="1"/>
        <v>0</v>
      </c>
      <c r="J10" s="17">
        <v>1</v>
      </c>
      <c r="K10" s="21">
        <f t="shared" si="2"/>
        <v>1275</v>
      </c>
      <c r="L10" s="21">
        <f t="shared" si="3"/>
        <v>1275</v>
      </c>
      <c r="M10" s="22">
        <f t="shared" si="4"/>
        <v>82.875</v>
      </c>
      <c r="N10" s="22">
        <f t="shared" si="5"/>
        <v>82.875</v>
      </c>
      <c r="O10" s="19"/>
      <c r="P10" s="19"/>
    </row>
    <row r="11" spans="1:16" ht="24" x14ac:dyDescent="0.8">
      <c r="A11" s="1" t="s">
        <v>73</v>
      </c>
      <c r="B11" s="1">
        <v>1</v>
      </c>
      <c r="C11" s="1" t="s">
        <v>45</v>
      </c>
      <c r="D11" s="34">
        <v>1000</v>
      </c>
      <c r="E11" s="1" t="s">
        <v>20</v>
      </c>
      <c r="F11" s="85">
        <f t="shared" si="0"/>
        <v>1000</v>
      </c>
      <c r="G11" s="2">
        <v>2</v>
      </c>
      <c r="H11" s="19"/>
      <c r="I11" s="16">
        <f t="shared" si="1"/>
        <v>0</v>
      </c>
      <c r="J11" s="17">
        <v>1</v>
      </c>
      <c r="K11" s="21">
        <f t="shared" si="2"/>
        <v>500</v>
      </c>
      <c r="L11" s="21">
        <f t="shared" si="3"/>
        <v>500</v>
      </c>
      <c r="M11" s="22">
        <f t="shared" si="4"/>
        <v>32.5</v>
      </c>
      <c r="N11" s="22">
        <f t="shared" si="5"/>
        <v>32.5</v>
      </c>
      <c r="O11" s="19"/>
      <c r="P11" s="19"/>
    </row>
    <row r="12" spans="1:16" ht="24" x14ac:dyDescent="0.8">
      <c r="A12" s="1" t="s">
        <v>74</v>
      </c>
      <c r="B12" s="1">
        <v>4</v>
      </c>
      <c r="C12" s="1" t="s">
        <v>75</v>
      </c>
      <c r="D12" s="34">
        <v>1600</v>
      </c>
      <c r="E12" s="1" t="s">
        <v>20</v>
      </c>
      <c r="F12" s="85">
        <f t="shared" si="0"/>
        <v>6400</v>
      </c>
      <c r="G12" s="2">
        <v>2</v>
      </c>
      <c r="H12" s="19"/>
      <c r="I12" s="16">
        <f t="shared" si="1"/>
        <v>0</v>
      </c>
      <c r="J12" s="17">
        <v>1</v>
      </c>
      <c r="K12" s="21">
        <f t="shared" si="2"/>
        <v>3200</v>
      </c>
      <c r="L12" s="21">
        <f t="shared" si="3"/>
        <v>3200</v>
      </c>
      <c r="M12" s="22">
        <f t="shared" si="4"/>
        <v>208</v>
      </c>
      <c r="N12" s="22">
        <f t="shared" si="5"/>
        <v>208</v>
      </c>
      <c r="O12" s="19"/>
      <c r="P12" s="19"/>
    </row>
    <row r="13" spans="1:16" ht="24" x14ac:dyDescent="0.8">
      <c r="A13" s="1" t="s">
        <v>76</v>
      </c>
      <c r="B13" s="1">
        <v>2</v>
      </c>
      <c r="C13" s="1" t="s">
        <v>45</v>
      </c>
      <c r="D13" s="34">
        <v>2000</v>
      </c>
      <c r="E13" s="1" t="s">
        <v>20</v>
      </c>
      <c r="F13" s="85">
        <f t="shared" si="0"/>
        <v>4000</v>
      </c>
      <c r="G13" s="2">
        <v>2</v>
      </c>
      <c r="H13" s="19"/>
      <c r="I13" s="16">
        <f t="shared" si="1"/>
        <v>0</v>
      </c>
      <c r="J13" s="17">
        <v>1</v>
      </c>
      <c r="K13" s="21">
        <f t="shared" si="2"/>
        <v>2000</v>
      </c>
      <c r="L13" s="21">
        <f t="shared" si="3"/>
        <v>2000</v>
      </c>
      <c r="M13" s="22">
        <f t="shared" si="4"/>
        <v>130</v>
      </c>
      <c r="N13" s="22">
        <f t="shared" si="5"/>
        <v>130</v>
      </c>
      <c r="O13" s="19"/>
      <c r="P13" s="19"/>
    </row>
    <row r="14" spans="1:16" ht="24" x14ac:dyDescent="0.8">
      <c r="A14" s="1" t="s">
        <v>77</v>
      </c>
      <c r="B14" s="1">
        <v>1</v>
      </c>
      <c r="C14" s="1" t="s">
        <v>45</v>
      </c>
      <c r="D14" s="34">
        <v>23000</v>
      </c>
      <c r="E14" s="1" t="s">
        <v>20</v>
      </c>
      <c r="F14" s="85">
        <f t="shared" si="0"/>
        <v>23000</v>
      </c>
      <c r="G14" s="2">
        <v>5</v>
      </c>
      <c r="H14" s="19">
        <v>1</v>
      </c>
      <c r="I14" s="16">
        <f t="shared" si="1"/>
        <v>230</v>
      </c>
      <c r="J14" s="17">
        <v>1</v>
      </c>
      <c r="K14" s="21">
        <f t="shared" si="2"/>
        <v>4554</v>
      </c>
      <c r="L14" s="21">
        <f t="shared" si="3"/>
        <v>11615</v>
      </c>
      <c r="M14" s="22">
        <f t="shared" si="4"/>
        <v>754.97500000000002</v>
      </c>
      <c r="N14" s="22">
        <f t="shared" si="5"/>
        <v>754.97500000000002</v>
      </c>
      <c r="O14" s="19"/>
      <c r="P14" s="19"/>
    </row>
    <row r="15" spans="1:16" ht="24" x14ac:dyDescent="0.8">
      <c r="A15" s="1" t="s">
        <v>78</v>
      </c>
      <c r="B15" s="1">
        <v>10</v>
      </c>
      <c r="C15" s="1" t="s">
        <v>75</v>
      </c>
      <c r="D15" s="1">
        <v>130</v>
      </c>
      <c r="E15" s="1" t="s">
        <v>20</v>
      </c>
      <c r="F15" s="85">
        <f t="shared" si="0"/>
        <v>1300</v>
      </c>
      <c r="G15" s="2">
        <v>1</v>
      </c>
      <c r="H15" s="19"/>
      <c r="I15" s="16">
        <f t="shared" si="1"/>
        <v>0</v>
      </c>
      <c r="J15" s="17">
        <v>1</v>
      </c>
      <c r="K15" s="21">
        <f t="shared" si="2"/>
        <v>1300</v>
      </c>
      <c r="L15" s="21">
        <f t="shared" si="3"/>
        <v>650</v>
      </c>
      <c r="M15" s="22">
        <f t="shared" si="4"/>
        <v>42.25</v>
      </c>
      <c r="N15" s="22">
        <f t="shared" si="5"/>
        <v>42.25</v>
      </c>
      <c r="O15" s="19"/>
      <c r="P15" s="19"/>
    </row>
    <row r="16" spans="1:16" ht="24" x14ac:dyDescent="0.8">
      <c r="A16" s="1" t="s">
        <v>79</v>
      </c>
      <c r="B16" s="1">
        <v>3</v>
      </c>
      <c r="C16" s="1" t="s">
        <v>80</v>
      </c>
      <c r="D16" s="34">
        <v>9000</v>
      </c>
      <c r="E16" s="1" t="s">
        <v>20</v>
      </c>
      <c r="F16" s="85">
        <f t="shared" si="0"/>
        <v>27000</v>
      </c>
      <c r="G16" s="2">
        <v>5</v>
      </c>
      <c r="H16" s="19">
        <v>2</v>
      </c>
      <c r="I16" s="16">
        <f t="shared" si="1"/>
        <v>540</v>
      </c>
      <c r="J16" s="17">
        <v>1</v>
      </c>
      <c r="K16" s="21">
        <f t="shared" si="2"/>
        <v>5292</v>
      </c>
      <c r="L16" s="21">
        <f t="shared" si="3"/>
        <v>13770</v>
      </c>
      <c r="M16" s="22">
        <f t="shared" si="4"/>
        <v>895.05000000000007</v>
      </c>
      <c r="N16" s="22">
        <f t="shared" si="5"/>
        <v>895.05000000000007</v>
      </c>
      <c r="O16" s="19"/>
      <c r="P16" s="19"/>
    </row>
    <row r="17" spans="1:16" ht="24" x14ac:dyDescent="0.8">
      <c r="A17" s="1" t="s">
        <v>81</v>
      </c>
      <c r="B17" s="1">
        <v>6</v>
      </c>
      <c r="C17" s="1" t="s">
        <v>66</v>
      </c>
      <c r="D17" s="1">
        <v>150</v>
      </c>
      <c r="E17" s="1" t="s">
        <v>20</v>
      </c>
      <c r="F17" s="85">
        <f t="shared" si="0"/>
        <v>900</v>
      </c>
      <c r="G17" s="2">
        <v>5</v>
      </c>
      <c r="H17" s="19"/>
      <c r="I17" s="16">
        <f t="shared" si="1"/>
        <v>0</v>
      </c>
      <c r="J17" s="17">
        <v>1</v>
      </c>
      <c r="K17" s="21">
        <f t="shared" si="2"/>
        <v>180</v>
      </c>
      <c r="L17" s="21">
        <f t="shared" si="3"/>
        <v>450</v>
      </c>
      <c r="M17" s="22">
        <f t="shared" si="4"/>
        <v>29.25</v>
      </c>
      <c r="N17" s="22">
        <f t="shared" si="5"/>
        <v>29.25</v>
      </c>
      <c r="O17" s="19"/>
      <c r="P17" s="19"/>
    </row>
    <row r="18" spans="1:16" ht="24" x14ac:dyDescent="0.8">
      <c r="A18" s="1" t="s">
        <v>82</v>
      </c>
      <c r="B18" s="1">
        <v>4</v>
      </c>
      <c r="C18" s="1" t="s">
        <v>66</v>
      </c>
      <c r="D18" s="1">
        <v>400</v>
      </c>
      <c r="E18" s="1" t="s">
        <v>20</v>
      </c>
      <c r="F18" s="85">
        <f t="shared" si="0"/>
        <v>1600</v>
      </c>
      <c r="G18" s="2">
        <v>2</v>
      </c>
      <c r="H18" s="19"/>
      <c r="I18" s="16">
        <f t="shared" si="1"/>
        <v>0</v>
      </c>
      <c r="J18" s="17">
        <v>1</v>
      </c>
      <c r="K18" s="21">
        <f t="shared" si="2"/>
        <v>800</v>
      </c>
      <c r="L18" s="21">
        <f t="shared" si="3"/>
        <v>800</v>
      </c>
      <c r="M18" s="22">
        <f t="shared" si="4"/>
        <v>52</v>
      </c>
      <c r="N18" s="22">
        <f t="shared" si="5"/>
        <v>52</v>
      </c>
      <c r="O18" s="19"/>
      <c r="P18" s="19"/>
    </row>
    <row r="19" spans="1:16" ht="24" x14ac:dyDescent="0.8">
      <c r="A19" s="1" t="s">
        <v>83</v>
      </c>
      <c r="B19" s="1">
        <v>10</v>
      </c>
      <c r="C19" s="1" t="s">
        <v>84</v>
      </c>
      <c r="D19" s="1">
        <v>180</v>
      </c>
      <c r="E19" s="1" t="s">
        <v>20</v>
      </c>
      <c r="F19" s="85">
        <f t="shared" ref="F19:F21" si="6">B19*D19</f>
        <v>1800</v>
      </c>
      <c r="G19" s="2">
        <v>1</v>
      </c>
      <c r="H19" s="19"/>
      <c r="I19" s="16">
        <f t="shared" ref="I19" si="7">F19*H19%</f>
        <v>0</v>
      </c>
      <c r="J19" s="17">
        <v>1</v>
      </c>
      <c r="K19" s="21">
        <f t="shared" si="2"/>
        <v>1800</v>
      </c>
      <c r="L19" s="21">
        <f t="shared" ref="L19:L21" si="8">(F19+I19)/2</f>
        <v>900</v>
      </c>
      <c r="M19" s="22">
        <f t="shared" ref="M19:M21" si="9">L19*$M$2%</f>
        <v>58.5</v>
      </c>
      <c r="N19" s="22">
        <f t="shared" ref="N19:N22" si="10">M19*J19</f>
        <v>58.5</v>
      </c>
      <c r="O19" s="19"/>
      <c r="P19" s="19"/>
    </row>
    <row r="20" spans="1:16" ht="24" x14ac:dyDescent="0.8">
      <c r="A20" s="1" t="s">
        <v>214</v>
      </c>
      <c r="B20" s="1"/>
      <c r="C20" s="1"/>
      <c r="D20" s="1"/>
      <c r="E20" s="1"/>
      <c r="F20" s="85"/>
      <c r="G20" s="2"/>
      <c r="H20" s="19"/>
      <c r="I20" s="16"/>
      <c r="J20" s="17"/>
      <c r="K20" s="21"/>
      <c r="L20" s="21"/>
      <c r="M20" s="22"/>
      <c r="N20" s="22"/>
      <c r="O20" s="19"/>
      <c r="P20" s="19"/>
    </row>
    <row r="21" spans="1:16" ht="24" x14ac:dyDescent="0.8">
      <c r="A21" s="1" t="s">
        <v>85</v>
      </c>
      <c r="B21" s="1">
        <v>10</v>
      </c>
      <c r="C21" s="1" t="s">
        <v>138</v>
      </c>
      <c r="D21" s="1">
        <v>21000</v>
      </c>
      <c r="E21" s="1" t="s">
        <v>213</v>
      </c>
      <c r="F21" s="85">
        <f t="shared" si="6"/>
        <v>210000</v>
      </c>
      <c r="G21" s="2">
        <v>3</v>
      </c>
      <c r="H21" s="19"/>
      <c r="I21" s="16">
        <f>B21*170*80</f>
        <v>136000</v>
      </c>
      <c r="J21" s="17">
        <v>1</v>
      </c>
      <c r="K21" s="21">
        <f t="shared" si="2"/>
        <v>24666.666666666668</v>
      </c>
      <c r="L21" s="21">
        <f t="shared" si="8"/>
        <v>173000</v>
      </c>
      <c r="M21" s="22">
        <f t="shared" si="9"/>
        <v>11245</v>
      </c>
      <c r="N21" s="22">
        <f t="shared" si="10"/>
        <v>11245</v>
      </c>
      <c r="O21" s="19"/>
      <c r="P21" s="19"/>
    </row>
    <row r="22" spans="1:16" ht="24" x14ac:dyDescent="0.8">
      <c r="A22" s="1" t="s">
        <v>88</v>
      </c>
      <c r="B22" s="1">
        <v>500</v>
      </c>
      <c r="C22" s="1" t="s">
        <v>138</v>
      </c>
      <c r="D22" s="1">
        <v>12000</v>
      </c>
      <c r="E22" s="1" t="s">
        <v>20</v>
      </c>
      <c r="F22" s="85">
        <f t="shared" si="0"/>
        <v>6000000</v>
      </c>
      <c r="G22" s="2">
        <v>3</v>
      </c>
      <c r="H22" s="19"/>
      <c r="I22" s="16">
        <f>B22*150*80</f>
        <v>6000000</v>
      </c>
      <c r="J22" s="17">
        <v>1</v>
      </c>
      <c r="K22" s="21">
        <f t="shared" si="2"/>
        <v>0</v>
      </c>
      <c r="L22" s="21">
        <f t="shared" si="3"/>
        <v>6000000</v>
      </c>
      <c r="M22" s="22">
        <f t="shared" si="4"/>
        <v>390000</v>
      </c>
      <c r="N22" s="22">
        <f t="shared" si="10"/>
        <v>390000</v>
      </c>
      <c r="O22" s="19"/>
      <c r="P22" s="19"/>
    </row>
    <row r="23" spans="1:16" ht="24" x14ac:dyDescent="0.8">
      <c r="A23" s="12" t="s">
        <v>40</v>
      </c>
      <c r="B23" s="19"/>
      <c r="C23" s="19"/>
      <c r="D23" s="19"/>
      <c r="E23" s="19"/>
      <c r="F23" s="86">
        <f>SUM(F3:F22)</f>
        <v>6752150</v>
      </c>
      <c r="G23" s="4"/>
      <c r="H23" s="19"/>
      <c r="I23" s="19"/>
      <c r="J23" s="19"/>
      <c r="K23" s="24">
        <f>SUM(K3:K22)</f>
        <v>249684.66666666666</v>
      </c>
      <c r="L23" s="19"/>
      <c r="M23" s="19"/>
      <c r="N23" s="24">
        <f>SUM(N3:N22)</f>
        <v>419070.3075</v>
      </c>
      <c r="O23" s="19"/>
      <c r="P23" s="31">
        <f>SUM(P3:P22)</f>
        <v>500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699FA-8917-C14C-95C9-AB0879715DFE}">
  <dimension ref="A1:K30"/>
  <sheetViews>
    <sheetView tabSelected="1" workbookViewId="0">
      <selection activeCell="B11" sqref="B11"/>
    </sheetView>
  </sheetViews>
  <sheetFormatPr defaultColWidth="10.83203125" defaultRowHeight="24" x14ac:dyDescent="0.8"/>
  <cols>
    <col min="1" max="1" width="20" style="39" customWidth="1"/>
    <col min="2" max="2" width="13.6640625" style="39" customWidth="1"/>
    <col min="3" max="3" width="8" style="39" customWidth="1"/>
    <col min="4" max="4" width="8.6640625" style="39" bestFit="1" customWidth="1"/>
    <col min="5" max="5" width="9.83203125" style="39" customWidth="1"/>
    <col min="6" max="10" width="7.83203125" style="39" customWidth="1"/>
    <col min="11" max="16384" width="10.83203125" style="39"/>
  </cols>
  <sheetData>
    <row r="1" spans="1:11" s="53" customFormat="1" x14ac:dyDescent="0.8">
      <c r="A1" s="68" t="s">
        <v>180</v>
      </c>
    </row>
    <row r="2" spans="1:11" x14ac:dyDescent="0.8">
      <c r="D2" s="39" t="s">
        <v>218</v>
      </c>
      <c r="F2" s="39" t="s">
        <v>91</v>
      </c>
    </row>
    <row r="3" spans="1:11" x14ac:dyDescent="0.8">
      <c r="A3" s="43" t="s">
        <v>139</v>
      </c>
      <c r="B3" s="50">
        <v>500</v>
      </c>
      <c r="C3" s="39" t="s">
        <v>138</v>
      </c>
      <c r="D3" s="39">
        <v>12000</v>
      </c>
      <c r="E3" s="39" t="s">
        <v>135</v>
      </c>
      <c r="F3" s="39">
        <f>B3*D3</f>
        <v>6000000</v>
      </c>
      <c r="G3" s="39" t="s">
        <v>179</v>
      </c>
      <c r="H3" s="39" t="s">
        <v>141</v>
      </c>
      <c r="J3" s="73">
        <f>B11*B3</f>
        <v>9775</v>
      </c>
      <c r="K3" s="39" t="s">
        <v>102</v>
      </c>
    </row>
    <row r="4" spans="1:11" x14ac:dyDescent="0.8">
      <c r="A4" s="43" t="s">
        <v>140</v>
      </c>
      <c r="B4" s="50">
        <v>10</v>
      </c>
      <c r="C4" s="39" t="s">
        <v>138</v>
      </c>
      <c r="D4" s="39">
        <v>21000</v>
      </c>
      <c r="E4" s="39" t="s">
        <v>135</v>
      </c>
      <c r="F4" s="39">
        <f>B4*D4</f>
        <v>210000</v>
      </c>
      <c r="G4" s="39" t="s">
        <v>179</v>
      </c>
      <c r="J4" s="73">
        <f>J3/B4</f>
        <v>977.5</v>
      </c>
      <c r="K4" s="39" t="s">
        <v>102</v>
      </c>
    </row>
    <row r="5" spans="1:11" x14ac:dyDescent="0.8">
      <c r="A5" s="43" t="s">
        <v>205</v>
      </c>
      <c r="B5" s="43"/>
      <c r="C5" s="43"/>
      <c r="H5" s="43"/>
      <c r="I5" s="43"/>
      <c r="J5" s="82">
        <f>B3+B4+J3</f>
        <v>10285</v>
      </c>
      <c r="K5" s="39" t="s">
        <v>102</v>
      </c>
    </row>
    <row r="6" spans="1:11" s="43" customFormat="1" x14ac:dyDescent="0.8">
      <c r="A6" s="43" t="s">
        <v>219</v>
      </c>
      <c r="F6" s="82">
        <f>(F3+F4)/J3</f>
        <v>635.29411764705878</v>
      </c>
      <c r="G6" s="43" t="s">
        <v>135</v>
      </c>
    </row>
    <row r="7" spans="1:11" x14ac:dyDescent="0.8">
      <c r="A7" s="39" t="s">
        <v>103</v>
      </c>
      <c r="B7" s="50">
        <v>2.2999999999999998</v>
      </c>
      <c r="C7" s="39" t="s">
        <v>105</v>
      </c>
    </row>
    <row r="8" spans="1:11" x14ac:dyDescent="0.8">
      <c r="A8" s="39" t="s">
        <v>101</v>
      </c>
      <c r="B8" s="50">
        <v>10</v>
      </c>
      <c r="C8" s="39" t="s">
        <v>104</v>
      </c>
    </row>
    <row r="9" spans="1:11" x14ac:dyDescent="0.8">
      <c r="B9" s="39">
        <f>B7*B8</f>
        <v>23</v>
      </c>
      <c r="C9" s="39" t="s">
        <v>102</v>
      </c>
    </row>
    <row r="10" spans="1:11" x14ac:dyDescent="0.8">
      <c r="A10" s="39" t="s">
        <v>178</v>
      </c>
      <c r="B10" s="51">
        <v>15</v>
      </c>
      <c r="C10" s="39" t="s">
        <v>137</v>
      </c>
    </row>
    <row r="11" spans="1:11" x14ac:dyDescent="0.8">
      <c r="A11" s="43" t="s">
        <v>101</v>
      </c>
      <c r="B11" s="43">
        <f>B9*(1-B10%)</f>
        <v>19.55</v>
      </c>
      <c r="C11" s="43" t="s">
        <v>102</v>
      </c>
    </row>
    <row r="12" spans="1:11" x14ac:dyDescent="0.8">
      <c r="A12" s="43"/>
      <c r="B12" s="43"/>
      <c r="C12" s="43"/>
    </row>
    <row r="13" spans="1:11" x14ac:dyDescent="0.8">
      <c r="A13" s="43"/>
      <c r="B13" s="43"/>
      <c r="C13" s="43"/>
    </row>
    <row r="14" spans="1:11" x14ac:dyDescent="0.8">
      <c r="A14" s="43"/>
      <c r="B14" s="43"/>
      <c r="C14" s="43"/>
    </row>
    <row r="15" spans="1:11" x14ac:dyDescent="0.8">
      <c r="A15" s="68" t="s">
        <v>89</v>
      </c>
      <c r="C15" s="39" t="s">
        <v>1</v>
      </c>
      <c r="D15" s="39" t="s">
        <v>2</v>
      </c>
      <c r="E15" s="39" t="s">
        <v>90</v>
      </c>
      <c r="F15" s="39" t="s">
        <v>91</v>
      </c>
      <c r="G15" s="39" t="s">
        <v>85</v>
      </c>
      <c r="H15" s="39" t="s">
        <v>88</v>
      </c>
      <c r="I15" s="39" t="s">
        <v>97</v>
      </c>
    </row>
    <row r="16" spans="1:11" x14ac:dyDescent="0.8">
      <c r="A16" s="39" t="s">
        <v>96</v>
      </c>
      <c r="B16" s="39" t="s">
        <v>86</v>
      </c>
      <c r="C16" s="40">
        <v>2</v>
      </c>
      <c r="D16" s="39" t="s">
        <v>98</v>
      </c>
      <c r="E16" s="40">
        <v>6</v>
      </c>
      <c r="F16" s="39">
        <f>C16*E16</f>
        <v>12</v>
      </c>
      <c r="G16" s="39">
        <f>F16</f>
        <v>12</v>
      </c>
      <c r="H16" s="39">
        <f>F16</f>
        <v>12</v>
      </c>
      <c r="I16" s="39">
        <f>E16</f>
        <v>6</v>
      </c>
    </row>
    <row r="17" spans="1:9" x14ac:dyDescent="0.8">
      <c r="B17" s="39" t="s">
        <v>87</v>
      </c>
      <c r="C17" s="40">
        <v>2</v>
      </c>
      <c r="D17" s="39" t="s">
        <v>98</v>
      </c>
      <c r="E17" s="40">
        <v>16</v>
      </c>
      <c r="F17" s="39">
        <f t="shared" ref="F17:F22" si="0">C17*E17</f>
        <v>32</v>
      </c>
      <c r="G17" s="39">
        <f t="shared" ref="G17:G21" si="1">F17</f>
        <v>32</v>
      </c>
      <c r="H17" s="39">
        <f t="shared" ref="H17:H21" si="2">F17</f>
        <v>32</v>
      </c>
      <c r="I17" s="39">
        <f>E17</f>
        <v>16</v>
      </c>
    </row>
    <row r="18" spans="1:9" x14ac:dyDescent="0.8">
      <c r="B18" s="39" t="s">
        <v>92</v>
      </c>
      <c r="C18" s="40">
        <v>2</v>
      </c>
      <c r="D18" s="39" t="s">
        <v>98</v>
      </c>
      <c r="E18" s="40">
        <v>6</v>
      </c>
      <c r="F18" s="39">
        <f t="shared" si="0"/>
        <v>12</v>
      </c>
      <c r="G18" s="39">
        <f t="shared" si="1"/>
        <v>12</v>
      </c>
      <c r="H18" s="39">
        <f t="shared" si="2"/>
        <v>12</v>
      </c>
      <c r="I18" s="39">
        <f>E18</f>
        <v>6</v>
      </c>
    </row>
    <row r="19" spans="1:9" x14ac:dyDescent="0.8">
      <c r="B19" s="39" t="s">
        <v>93</v>
      </c>
      <c r="C19" s="40">
        <v>2</v>
      </c>
      <c r="D19" s="39" t="s">
        <v>98</v>
      </c>
      <c r="E19" s="40">
        <v>16</v>
      </c>
      <c r="F19" s="39">
        <f t="shared" si="0"/>
        <v>32</v>
      </c>
      <c r="G19" s="39">
        <f t="shared" si="1"/>
        <v>32</v>
      </c>
      <c r="H19" s="39">
        <f t="shared" si="2"/>
        <v>32</v>
      </c>
    </row>
    <row r="20" spans="1:9" x14ac:dyDescent="0.8">
      <c r="B20" s="39" t="s">
        <v>94</v>
      </c>
      <c r="C20" s="40">
        <v>2</v>
      </c>
      <c r="D20" s="39" t="s">
        <v>98</v>
      </c>
      <c r="E20" s="40">
        <v>65</v>
      </c>
      <c r="F20" s="39">
        <f t="shared" si="0"/>
        <v>130</v>
      </c>
      <c r="G20" s="39">
        <f t="shared" si="1"/>
        <v>130</v>
      </c>
      <c r="H20" s="39">
        <f t="shared" si="2"/>
        <v>130</v>
      </c>
    </row>
    <row r="21" spans="1:9" x14ac:dyDescent="0.8">
      <c r="B21" s="39" t="s">
        <v>95</v>
      </c>
      <c r="C21" s="40">
        <v>2</v>
      </c>
      <c r="D21" s="39" t="s">
        <v>98</v>
      </c>
      <c r="E21" s="40">
        <v>85</v>
      </c>
      <c r="F21" s="39">
        <f t="shared" si="0"/>
        <v>170</v>
      </c>
      <c r="G21" s="39">
        <f t="shared" si="1"/>
        <v>170</v>
      </c>
      <c r="H21" s="39">
        <f t="shared" si="2"/>
        <v>170</v>
      </c>
      <c r="I21" s="39">
        <f>E21</f>
        <v>85</v>
      </c>
    </row>
    <row r="22" spans="1:9" x14ac:dyDescent="0.8">
      <c r="B22" s="39" t="s">
        <v>100</v>
      </c>
      <c r="C22" s="40">
        <v>1</v>
      </c>
      <c r="D22" s="39" t="s">
        <v>98</v>
      </c>
      <c r="E22" s="40">
        <v>3</v>
      </c>
      <c r="F22" s="39">
        <f t="shared" si="0"/>
        <v>3</v>
      </c>
      <c r="I22" s="39">
        <v>3</v>
      </c>
    </row>
    <row r="23" spans="1:9" x14ac:dyDescent="0.8">
      <c r="C23" s="40"/>
      <c r="E23" s="40"/>
    </row>
    <row r="24" spans="1:9" x14ac:dyDescent="0.8">
      <c r="C24" s="40"/>
      <c r="E24" s="40"/>
    </row>
    <row r="25" spans="1:9" x14ac:dyDescent="0.8">
      <c r="A25" s="43" t="s">
        <v>91</v>
      </c>
      <c r="G25" s="43">
        <f>SUM(G16:G22)</f>
        <v>388</v>
      </c>
      <c r="H25" s="43">
        <f>SUM(H16:H22)</f>
        <v>388</v>
      </c>
      <c r="I25" s="43">
        <f>SUM(I16:I22)</f>
        <v>116</v>
      </c>
    </row>
    <row r="26" spans="1:9" x14ac:dyDescent="0.8">
      <c r="A26" s="43"/>
      <c r="G26" s="43"/>
      <c r="H26" s="43"/>
      <c r="I26" s="43"/>
    </row>
    <row r="27" spans="1:9" x14ac:dyDescent="0.8">
      <c r="A27" s="39" t="s">
        <v>146</v>
      </c>
      <c r="C27" s="52">
        <f>H25*B3/J3</f>
        <v>19.846547314578004</v>
      </c>
      <c r="D27" s="39" t="s">
        <v>135</v>
      </c>
    </row>
    <row r="28" spans="1:9" x14ac:dyDescent="0.8">
      <c r="A28" s="39" t="s">
        <v>147</v>
      </c>
      <c r="C28" s="52">
        <f>G25*B4/J4</f>
        <v>3.9693094629156009</v>
      </c>
      <c r="D28" s="39" t="s">
        <v>135</v>
      </c>
    </row>
    <row r="29" spans="1:9" x14ac:dyDescent="0.8">
      <c r="A29" s="39" t="s">
        <v>148</v>
      </c>
      <c r="C29" s="52">
        <f>I25</f>
        <v>116</v>
      </c>
      <c r="D29" s="39" t="s">
        <v>135</v>
      </c>
    </row>
    <row r="30" spans="1:9" x14ac:dyDescent="0.8">
      <c r="A30" s="43" t="s">
        <v>91</v>
      </c>
      <c r="B30" s="43"/>
      <c r="C30" s="72">
        <f>SUM(C27:C29)</f>
        <v>139.81585677749359</v>
      </c>
      <c r="D30" s="43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D0531-8888-CA4E-A4DF-B61E3F045595}">
  <dimension ref="A1:I33"/>
  <sheetViews>
    <sheetView workbookViewId="0">
      <selection activeCell="I4" sqref="I4"/>
    </sheetView>
  </sheetViews>
  <sheetFormatPr defaultColWidth="10.83203125" defaultRowHeight="24" x14ac:dyDescent="0.8"/>
  <cols>
    <col min="1" max="1" width="25.1640625" style="39" customWidth="1"/>
    <col min="2" max="2" width="13" style="39" bestFit="1" customWidth="1"/>
    <col min="3" max="3" width="11.5" style="39" bestFit="1" customWidth="1"/>
    <col min="4" max="4" width="11.1640625" style="39" bestFit="1" customWidth="1"/>
    <col min="5" max="5" width="23" style="39" customWidth="1"/>
    <col min="6" max="6" width="12.6640625" style="39" customWidth="1"/>
    <col min="7" max="16384" width="10.83203125" style="39"/>
  </cols>
  <sheetData>
    <row r="1" spans="1:9" x14ac:dyDescent="0.8">
      <c r="A1" s="68" t="s">
        <v>160</v>
      </c>
      <c r="H1" s="39" t="s">
        <v>97</v>
      </c>
      <c r="I1" s="39" t="s">
        <v>173</v>
      </c>
    </row>
    <row r="2" spans="1:9" x14ac:dyDescent="0.8">
      <c r="B2" s="39" t="s">
        <v>160</v>
      </c>
      <c r="C2" s="39" t="s">
        <v>174</v>
      </c>
      <c r="D2" s="39" t="s">
        <v>49</v>
      </c>
      <c r="E2" s="39" t="s">
        <v>2</v>
      </c>
      <c r="G2" s="39" t="s">
        <v>228</v>
      </c>
      <c r="H2" s="39">
        <v>0.7</v>
      </c>
      <c r="I2" s="39">
        <v>0.3</v>
      </c>
    </row>
    <row r="3" spans="1:9" x14ac:dyDescent="0.8">
      <c r="A3" s="39" t="s">
        <v>175</v>
      </c>
      <c r="B3" s="70">
        <f>ค่าเสื่อมโรงเรือน!K27</f>
        <v>2099225</v>
      </c>
      <c r="C3" s="70">
        <f>ค่าเสื่อมโรงเรือน!N27</f>
        <v>516557.4375</v>
      </c>
      <c r="D3" s="70">
        <f>ค่าเสื่อมโรงเรือน!P27</f>
        <v>54600</v>
      </c>
      <c r="E3" s="39" t="s">
        <v>179</v>
      </c>
    </row>
    <row r="4" spans="1:9" x14ac:dyDescent="0.8">
      <c r="A4" s="39" t="s">
        <v>176</v>
      </c>
      <c r="B4" s="70">
        <f>'ค่าเสื่อมอุปกรณ์+พ่อแม่พันธุ์'!K23</f>
        <v>249684.66666666666</v>
      </c>
      <c r="C4" s="70">
        <f>'ค่าเสื่อมอุปกรณ์+พ่อแม่พันธุ์'!N23</f>
        <v>419070.3075</v>
      </c>
      <c r="D4" s="70">
        <f>'ค่าเสื่อมอุปกรณ์+พ่อแม่พันธุ์'!P23</f>
        <v>500</v>
      </c>
      <c r="E4" s="39" t="s">
        <v>179</v>
      </c>
    </row>
    <row r="5" spans="1:9" x14ac:dyDescent="0.8">
      <c r="A5" s="53" t="s">
        <v>91</v>
      </c>
      <c r="B5" s="77">
        <f>SUM(B3:B4)</f>
        <v>2348909.6666666665</v>
      </c>
      <c r="C5" s="77">
        <f t="shared" ref="C5:D5" si="0">SUM(C3:C4)</f>
        <v>935627.745</v>
      </c>
      <c r="D5" s="77">
        <f t="shared" si="0"/>
        <v>55100</v>
      </c>
      <c r="E5" s="43" t="s">
        <v>179</v>
      </c>
    </row>
    <row r="6" spans="1:9" x14ac:dyDescent="0.8">
      <c r="B6" s="83">
        <f>B5/'จำนวนสุกร '!J5</f>
        <v>228.38207745908278</v>
      </c>
      <c r="C6" s="77">
        <f>C5/'จำนวนสุกร '!J5</f>
        <v>90.970125911521635</v>
      </c>
      <c r="D6" s="77">
        <f>D5/'จำนวนสุกร '!J5</f>
        <v>5.3573164803111331</v>
      </c>
      <c r="E6" s="43" t="s">
        <v>135</v>
      </c>
    </row>
    <row r="7" spans="1:9" x14ac:dyDescent="0.8">
      <c r="B7" s="70"/>
      <c r="C7" s="70"/>
      <c r="D7" s="70"/>
    </row>
    <row r="8" spans="1:9" x14ac:dyDescent="0.8">
      <c r="A8" s="68" t="s">
        <v>159</v>
      </c>
      <c r="B8" s="71" t="s">
        <v>1</v>
      </c>
      <c r="C8" s="53"/>
      <c r="D8" s="71" t="s">
        <v>184</v>
      </c>
      <c r="E8" s="53"/>
      <c r="F8" s="53" t="s">
        <v>190</v>
      </c>
      <c r="G8" s="53"/>
    </row>
    <row r="9" spans="1:9" x14ac:dyDescent="0.8">
      <c r="A9" s="39" t="s">
        <v>183</v>
      </c>
      <c r="B9" s="76">
        <v>2</v>
      </c>
      <c r="C9" s="70" t="s">
        <v>186</v>
      </c>
      <c r="D9" s="75">
        <v>15000</v>
      </c>
      <c r="E9" s="39" t="s">
        <v>191</v>
      </c>
      <c r="F9" s="75">
        <f>B9*D9</f>
        <v>30000</v>
      </c>
      <c r="G9" s="39" t="s">
        <v>185</v>
      </c>
    </row>
    <row r="10" spans="1:9" x14ac:dyDescent="0.8">
      <c r="A10" s="39" t="s">
        <v>187</v>
      </c>
      <c r="B10" s="76">
        <v>1</v>
      </c>
      <c r="C10" s="70" t="s">
        <v>186</v>
      </c>
      <c r="D10" s="75">
        <v>18000</v>
      </c>
      <c r="E10" s="39" t="s">
        <v>191</v>
      </c>
      <c r="F10" s="75">
        <f t="shared" ref="F10:F11" si="1">B10*D10</f>
        <v>18000</v>
      </c>
      <c r="G10" s="39" t="s">
        <v>185</v>
      </c>
    </row>
    <row r="11" spans="1:9" x14ac:dyDescent="0.8">
      <c r="A11" s="39" t="s">
        <v>181</v>
      </c>
      <c r="B11" s="76">
        <v>4</v>
      </c>
      <c r="C11" s="70" t="s">
        <v>189</v>
      </c>
      <c r="D11" s="75">
        <v>15000</v>
      </c>
      <c r="E11" s="39" t="s">
        <v>191</v>
      </c>
      <c r="F11" s="75">
        <f t="shared" si="1"/>
        <v>60000</v>
      </c>
      <c r="G11" s="39" t="s">
        <v>185</v>
      </c>
    </row>
    <row r="12" spans="1:9" x14ac:dyDescent="0.8">
      <c r="A12" s="39" t="s">
        <v>182</v>
      </c>
      <c r="B12" s="76"/>
      <c r="C12" s="70"/>
      <c r="D12" s="75"/>
      <c r="F12" s="75"/>
    </row>
    <row r="13" spans="1:9" x14ac:dyDescent="0.8">
      <c r="A13" s="43" t="s">
        <v>91</v>
      </c>
      <c r="B13" s="77"/>
      <c r="C13" s="77"/>
      <c r="D13" s="77"/>
      <c r="E13" s="43"/>
      <c r="F13" s="78">
        <f>SUM(F9:F12)</f>
        <v>108000</v>
      </c>
      <c r="G13" s="43" t="s">
        <v>185</v>
      </c>
    </row>
    <row r="14" spans="1:9" x14ac:dyDescent="0.8">
      <c r="A14" s="43"/>
      <c r="B14" s="77"/>
      <c r="C14" s="77"/>
      <c r="D14" s="77"/>
      <c r="E14" s="43"/>
      <c r="F14" s="78">
        <f>F13*12</f>
        <v>1296000</v>
      </c>
      <c r="G14" s="43" t="s">
        <v>188</v>
      </c>
    </row>
    <row r="15" spans="1:9" x14ac:dyDescent="0.8">
      <c r="A15" s="43"/>
      <c r="B15" s="77"/>
      <c r="C15" s="77"/>
      <c r="D15" s="77"/>
      <c r="E15" s="43"/>
      <c r="F15" s="78">
        <f>F14/'จำนวนสุกร '!J5</f>
        <v>126.00875060768109</v>
      </c>
      <c r="G15" s="43" t="s">
        <v>135</v>
      </c>
    </row>
    <row r="16" spans="1:9" x14ac:dyDescent="0.8">
      <c r="A16" s="43"/>
      <c r="B16" s="77"/>
      <c r="C16" s="77"/>
      <c r="D16" s="77"/>
      <c r="E16" s="43"/>
      <c r="F16" s="78"/>
      <c r="G16" s="43"/>
    </row>
    <row r="17" spans="1:7" x14ac:dyDescent="0.8">
      <c r="A17" s="68" t="s">
        <v>192</v>
      </c>
      <c r="B17" s="70"/>
      <c r="C17" s="70"/>
      <c r="D17" s="70"/>
      <c r="E17" s="68" t="s">
        <v>210</v>
      </c>
    </row>
    <row r="18" spans="1:7" x14ac:dyDescent="0.8">
      <c r="A18" s="39" t="s">
        <v>193</v>
      </c>
      <c r="B18" s="79">
        <v>950000</v>
      </c>
      <c r="C18" s="70" t="s">
        <v>188</v>
      </c>
      <c r="D18" s="70"/>
      <c r="E18" s="39" t="s">
        <v>211</v>
      </c>
      <c r="F18" s="79">
        <v>200000</v>
      </c>
      <c r="G18" s="70" t="s">
        <v>188</v>
      </c>
    </row>
    <row r="19" spans="1:7" x14ac:dyDescent="0.8">
      <c r="A19" s="39" t="s">
        <v>194</v>
      </c>
      <c r="B19" s="79">
        <v>3000</v>
      </c>
      <c r="C19" s="70" t="s">
        <v>188</v>
      </c>
      <c r="D19" s="70"/>
      <c r="F19" s="79"/>
      <c r="G19" s="70" t="s">
        <v>188</v>
      </c>
    </row>
    <row r="20" spans="1:7" x14ac:dyDescent="0.8">
      <c r="A20" s="39" t="s">
        <v>195</v>
      </c>
      <c r="B20" s="79">
        <v>150000</v>
      </c>
      <c r="C20" s="39" t="s">
        <v>188</v>
      </c>
      <c r="F20" s="79"/>
      <c r="G20" s="39" t="s">
        <v>188</v>
      </c>
    </row>
    <row r="21" spans="1:7" x14ac:dyDescent="0.8">
      <c r="A21" s="39" t="s">
        <v>206</v>
      </c>
      <c r="B21" s="79">
        <f>1200*12</f>
        <v>14400</v>
      </c>
      <c r="C21" s="39" t="s">
        <v>188</v>
      </c>
      <c r="F21" s="79"/>
      <c r="G21" s="39" t="s">
        <v>188</v>
      </c>
    </row>
    <row r="22" spans="1:7" x14ac:dyDescent="0.8">
      <c r="A22" s="43" t="s">
        <v>91</v>
      </c>
      <c r="B22" s="73">
        <f>SUM(B18:B21)</f>
        <v>1117400</v>
      </c>
      <c r="C22" s="43" t="s">
        <v>188</v>
      </c>
      <c r="E22" s="43" t="s">
        <v>91</v>
      </c>
      <c r="F22" s="73">
        <f>SUM(F18:F21)</f>
        <v>200000</v>
      </c>
      <c r="G22" s="43" t="s">
        <v>188</v>
      </c>
    </row>
    <row r="23" spans="1:7" x14ac:dyDescent="0.8">
      <c r="A23" s="43"/>
      <c r="B23" s="73">
        <f>B22/'จำนวนสุกร '!J5</f>
        <v>108.64365580943121</v>
      </c>
      <c r="C23" s="43" t="s">
        <v>135</v>
      </c>
      <c r="E23" s="43"/>
      <c r="F23" s="73">
        <f>F22/'จำนวนสุกร '!J5</f>
        <v>19.445794846864366</v>
      </c>
      <c r="G23" s="43" t="s">
        <v>135</v>
      </c>
    </row>
    <row r="25" spans="1:7" x14ac:dyDescent="0.8">
      <c r="A25" s="68" t="s">
        <v>196</v>
      </c>
      <c r="B25" s="51">
        <v>30</v>
      </c>
      <c r="C25" s="39" t="s">
        <v>197</v>
      </c>
      <c r="E25" s="68" t="s">
        <v>204</v>
      </c>
    </row>
    <row r="26" spans="1:7" x14ac:dyDescent="0.8">
      <c r="A26" s="39" t="s">
        <v>207</v>
      </c>
      <c r="B26" s="79">
        <v>10000</v>
      </c>
      <c r="C26" s="39" t="s">
        <v>188</v>
      </c>
      <c r="E26" s="39" t="s">
        <v>201</v>
      </c>
      <c r="F26" s="51">
        <v>0.75</v>
      </c>
      <c r="G26" s="39" t="s">
        <v>203</v>
      </c>
    </row>
    <row r="27" spans="1:7" x14ac:dyDescent="0.8">
      <c r="A27" s="39" t="s">
        <v>208</v>
      </c>
      <c r="B27" s="79">
        <v>2000</v>
      </c>
      <c r="C27" s="39" t="s">
        <v>188</v>
      </c>
      <c r="E27" s="39" t="s">
        <v>202</v>
      </c>
      <c r="F27" s="51">
        <v>6.5</v>
      </c>
      <c r="G27" s="39" t="s">
        <v>203</v>
      </c>
    </row>
    <row r="28" spans="1:7" x14ac:dyDescent="0.8">
      <c r="A28" s="39" t="s">
        <v>198</v>
      </c>
      <c r="B28" s="79">
        <v>200000</v>
      </c>
      <c r="C28" s="39" t="s">
        <v>188</v>
      </c>
    </row>
    <row r="29" spans="1:7" x14ac:dyDescent="0.8">
      <c r="A29" s="43" t="s">
        <v>91</v>
      </c>
      <c r="B29" s="73">
        <f>SUM(B26:B28)</f>
        <v>212000</v>
      </c>
      <c r="C29" s="43" t="s">
        <v>188</v>
      </c>
      <c r="E29" s="39" t="s">
        <v>216</v>
      </c>
      <c r="F29" s="79">
        <v>200000</v>
      </c>
      <c r="G29" s="39" t="s">
        <v>125</v>
      </c>
    </row>
    <row r="30" spans="1:7" x14ac:dyDescent="0.8">
      <c r="A30" s="43"/>
      <c r="B30" s="73">
        <f>B29/'จำนวนสุกร '!J5</f>
        <v>20.612542537676227</v>
      </c>
      <c r="C30" s="43" t="s">
        <v>135</v>
      </c>
      <c r="E30" s="39" t="s">
        <v>217</v>
      </c>
      <c r="F30" s="81">
        <f>F29*F27%</f>
        <v>13000</v>
      </c>
      <c r="G30" s="39" t="s">
        <v>125</v>
      </c>
    </row>
    <row r="31" spans="1:7" x14ac:dyDescent="0.8">
      <c r="A31" s="39" t="s">
        <v>199</v>
      </c>
      <c r="B31" s="79">
        <v>1000</v>
      </c>
      <c r="C31" s="39" t="s">
        <v>200</v>
      </c>
      <c r="E31" s="43"/>
      <c r="F31" s="87">
        <f>F30/'จำนวนสุกร '!J5</f>
        <v>1.2639766650461837</v>
      </c>
      <c r="G31" s="43" t="s">
        <v>135</v>
      </c>
    </row>
    <row r="32" spans="1:7" x14ac:dyDescent="0.8">
      <c r="A32" s="44" t="s">
        <v>209</v>
      </c>
      <c r="B32" s="73">
        <f>B31*B25</f>
        <v>30000</v>
      </c>
      <c r="C32" s="43" t="s">
        <v>188</v>
      </c>
    </row>
    <row r="33" spans="1:3" x14ac:dyDescent="0.8">
      <c r="A33" s="44"/>
      <c r="B33" s="55">
        <f>B32/'จำนวนสุกร '!J5</f>
        <v>2.9168692270296548</v>
      </c>
      <c r="C33" s="43" t="s">
        <v>135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49B66-F7D2-1243-9DCC-CFEC7F3E38DC}">
  <dimension ref="A1:O31"/>
  <sheetViews>
    <sheetView topLeftCell="A3" workbookViewId="0">
      <selection activeCell="N27" sqref="N27"/>
    </sheetView>
  </sheetViews>
  <sheetFormatPr defaultColWidth="10.83203125" defaultRowHeight="24" x14ac:dyDescent="0.8"/>
  <cols>
    <col min="1" max="1" width="17" style="39" customWidth="1"/>
    <col min="2" max="10" width="10.83203125" style="39"/>
    <col min="11" max="11" width="14" style="39" bestFit="1" customWidth="1"/>
    <col min="12" max="14" width="10.83203125" style="39"/>
    <col min="15" max="15" width="15.5" style="39" customWidth="1"/>
    <col min="16" max="16384" width="10.83203125" style="39"/>
  </cols>
  <sheetData>
    <row r="1" spans="1:15" x14ac:dyDescent="0.8">
      <c r="A1" s="48" t="s">
        <v>106</v>
      </c>
      <c r="B1" s="39" t="s">
        <v>115</v>
      </c>
    </row>
    <row r="2" spans="1:15" x14ac:dyDescent="0.8">
      <c r="B2" s="39" t="s">
        <v>116</v>
      </c>
      <c r="C2" s="41" t="s">
        <v>2</v>
      </c>
      <c r="D2" s="39" t="s">
        <v>119</v>
      </c>
      <c r="E2" s="39" t="s">
        <v>117</v>
      </c>
    </row>
    <row r="3" spans="1:15" x14ac:dyDescent="0.8">
      <c r="A3" s="38" t="s">
        <v>107</v>
      </c>
      <c r="B3" s="40">
        <v>840</v>
      </c>
      <c r="C3" s="41" t="s">
        <v>118</v>
      </c>
      <c r="D3" s="41">
        <v>30</v>
      </c>
      <c r="E3" s="42">
        <f t="shared" ref="E3:E10" si="0">B3/D3</f>
        <v>28</v>
      </c>
    </row>
    <row r="4" spans="1:15" x14ac:dyDescent="0.8">
      <c r="A4" s="38" t="s">
        <v>108</v>
      </c>
      <c r="B4" s="40">
        <v>840</v>
      </c>
      <c r="C4" s="41" t="s">
        <v>118</v>
      </c>
      <c r="D4" s="41">
        <v>30</v>
      </c>
      <c r="E4" s="42">
        <f t="shared" si="0"/>
        <v>28</v>
      </c>
    </row>
    <row r="5" spans="1:15" x14ac:dyDescent="0.8">
      <c r="A5" s="38" t="s">
        <v>109</v>
      </c>
      <c r="B5" s="40">
        <v>530</v>
      </c>
      <c r="C5" s="41" t="s">
        <v>118</v>
      </c>
      <c r="D5" s="41">
        <v>30</v>
      </c>
      <c r="E5" s="42">
        <f t="shared" si="0"/>
        <v>17.666666666666668</v>
      </c>
    </row>
    <row r="6" spans="1:15" x14ac:dyDescent="0.8">
      <c r="A6" s="38" t="s">
        <v>110</v>
      </c>
      <c r="B6" s="40">
        <v>504</v>
      </c>
      <c r="C6" s="41" t="s">
        <v>118</v>
      </c>
      <c r="D6" s="41">
        <v>30</v>
      </c>
      <c r="E6" s="42">
        <f t="shared" si="0"/>
        <v>16.8</v>
      </c>
    </row>
    <row r="7" spans="1:15" x14ac:dyDescent="0.8">
      <c r="A7" s="38" t="s">
        <v>111</v>
      </c>
      <c r="B7" s="40">
        <v>460</v>
      </c>
      <c r="C7" s="41" t="s">
        <v>118</v>
      </c>
      <c r="D7" s="41">
        <v>30</v>
      </c>
      <c r="E7" s="42">
        <f t="shared" si="0"/>
        <v>15.333333333333334</v>
      </c>
    </row>
    <row r="8" spans="1:15" x14ac:dyDescent="0.8">
      <c r="A8" s="38" t="s">
        <v>112</v>
      </c>
      <c r="B8" s="40">
        <v>530</v>
      </c>
      <c r="C8" s="41" t="s">
        <v>118</v>
      </c>
      <c r="D8" s="41">
        <v>30</v>
      </c>
      <c r="E8" s="42">
        <f t="shared" si="0"/>
        <v>17.666666666666668</v>
      </c>
    </row>
    <row r="9" spans="1:15" x14ac:dyDescent="0.8">
      <c r="A9" s="38" t="s">
        <v>113</v>
      </c>
      <c r="B9" s="40">
        <v>560</v>
      </c>
      <c r="C9" s="41" t="s">
        <v>118</v>
      </c>
      <c r="D9" s="41">
        <v>30</v>
      </c>
      <c r="E9" s="42">
        <f t="shared" si="0"/>
        <v>18.666666666666668</v>
      </c>
    </row>
    <row r="10" spans="1:15" x14ac:dyDescent="0.8">
      <c r="A10" s="38" t="s">
        <v>114</v>
      </c>
      <c r="B10" s="40">
        <v>531</v>
      </c>
      <c r="C10" s="41" t="s">
        <v>118</v>
      </c>
      <c r="D10" s="41">
        <v>30</v>
      </c>
      <c r="E10" s="42">
        <f t="shared" si="0"/>
        <v>17.7</v>
      </c>
    </row>
    <row r="12" spans="1:15" s="53" customFormat="1" x14ac:dyDescent="0.8">
      <c r="A12" s="47" t="s">
        <v>120</v>
      </c>
      <c r="B12" s="53" t="s">
        <v>128</v>
      </c>
      <c r="C12" s="46"/>
    </row>
    <row r="13" spans="1:15" x14ac:dyDescent="0.8">
      <c r="A13" s="60" t="s">
        <v>121</v>
      </c>
      <c r="B13" s="61">
        <v>290</v>
      </c>
      <c r="C13" s="62" t="s">
        <v>127</v>
      </c>
      <c r="D13" s="4" t="s">
        <v>122</v>
      </c>
      <c r="E13" s="19">
        <v>3</v>
      </c>
      <c r="F13" s="19" t="s">
        <v>123</v>
      </c>
      <c r="G13" s="19" t="s">
        <v>124</v>
      </c>
      <c r="H13" s="57">
        <f>E8</f>
        <v>17.666666666666668</v>
      </c>
      <c r="I13" s="19" t="s">
        <v>117</v>
      </c>
      <c r="J13" s="19" t="s">
        <v>91</v>
      </c>
      <c r="K13" s="57">
        <f>B13*E13*H13</f>
        <v>15370.000000000002</v>
      </c>
      <c r="L13" s="19" t="s">
        <v>125</v>
      </c>
      <c r="M13" s="19"/>
      <c r="N13" s="19"/>
      <c r="O13" s="19"/>
    </row>
    <row r="14" spans="1:15" x14ac:dyDescent="0.8">
      <c r="A14" s="60" t="s">
        <v>126</v>
      </c>
      <c r="B14" s="61">
        <v>75</v>
      </c>
      <c r="C14" s="62" t="s">
        <v>127</v>
      </c>
      <c r="D14" s="4" t="s">
        <v>122</v>
      </c>
      <c r="E14" s="19">
        <v>5</v>
      </c>
      <c r="F14" s="19" t="s">
        <v>123</v>
      </c>
      <c r="G14" s="19" t="s">
        <v>124</v>
      </c>
      <c r="H14" s="57">
        <f>E9</f>
        <v>18.666666666666668</v>
      </c>
      <c r="I14" s="19" t="s">
        <v>117</v>
      </c>
      <c r="J14" s="19" t="s">
        <v>91</v>
      </c>
      <c r="K14" s="57">
        <f>B14*E14*H14</f>
        <v>7000</v>
      </c>
      <c r="L14" s="19" t="s">
        <v>125</v>
      </c>
      <c r="M14" s="19"/>
      <c r="N14" s="19"/>
      <c r="O14" s="19"/>
    </row>
    <row r="15" spans="1:15" s="43" customFormat="1" x14ac:dyDescent="0.8">
      <c r="A15" s="63" t="s">
        <v>136</v>
      </c>
      <c r="B15" s="64"/>
      <c r="C15" s="65"/>
      <c r="D15" s="66"/>
      <c r="E15" s="58"/>
      <c r="F15" s="58"/>
      <c r="G15" s="58"/>
      <c r="H15" s="59"/>
      <c r="I15" s="58"/>
      <c r="J15" s="58"/>
      <c r="K15" s="59">
        <f>SUM(K13:K14)</f>
        <v>22370</v>
      </c>
      <c r="L15" s="58" t="s">
        <v>135</v>
      </c>
      <c r="M15" s="58" t="s">
        <v>142</v>
      </c>
      <c r="N15" s="59">
        <f>K15/'จำนวนสุกร '!B11</f>
        <v>1144.2455242966751</v>
      </c>
      <c r="O15" s="58" t="s">
        <v>143</v>
      </c>
    </row>
    <row r="16" spans="1:15" x14ac:dyDescent="0.8">
      <c r="A16" s="60" t="s">
        <v>85</v>
      </c>
      <c r="B16" s="61">
        <v>365</v>
      </c>
      <c r="C16" s="62" t="s">
        <v>127</v>
      </c>
      <c r="D16" s="4" t="s">
        <v>122</v>
      </c>
      <c r="E16" s="19">
        <v>3</v>
      </c>
      <c r="F16" s="19" t="s">
        <v>123</v>
      </c>
      <c r="G16" s="19" t="s">
        <v>124</v>
      </c>
      <c r="H16" s="57">
        <f>E10</f>
        <v>17.7</v>
      </c>
      <c r="I16" s="19" t="s">
        <v>117</v>
      </c>
      <c r="J16" s="19" t="s">
        <v>91</v>
      </c>
      <c r="K16" s="57">
        <f>B16*E16*H16</f>
        <v>19381.5</v>
      </c>
      <c r="L16" s="19" t="s">
        <v>135</v>
      </c>
      <c r="M16" s="19" t="s">
        <v>142</v>
      </c>
      <c r="N16" s="57">
        <f>K16/'จำนวนสุกร '!J4</f>
        <v>19.82762148337596</v>
      </c>
      <c r="O16" s="58" t="s">
        <v>143</v>
      </c>
    </row>
    <row r="17" spans="1:15" s="44" customFormat="1" x14ac:dyDescent="0.8">
      <c r="A17" s="63" t="s">
        <v>144</v>
      </c>
      <c r="B17" s="65"/>
      <c r="C17" s="65"/>
      <c r="D17" s="65"/>
      <c r="E17" s="63"/>
      <c r="F17" s="63"/>
      <c r="G17" s="63"/>
      <c r="H17" s="67"/>
      <c r="I17" s="63"/>
      <c r="J17" s="63"/>
      <c r="K17" s="67"/>
      <c r="L17" s="63"/>
      <c r="M17" s="63"/>
      <c r="N17" s="67">
        <f>SUM(N15:N16)</f>
        <v>1164.0731457800509</v>
      </c>
      <c r="O17" s="58" t="s">
        <v>143</v>
      </c>
    </row>
    <row r="18" spans="1:15" s="44" customFormat="1" x14ac:dyDescent="0.8">
      <c r="A18" s="63" t="s">
        <v>177</v>
      </c>
      <c r="B18" s="65"/>
      <c r="C18" s="65"/>
      <c r="D18" s="65"/>
      <c r="E18" s="63"/>
      <c r="F18" s="63"/>
      <c r="G18" s="63"/>
      <c r="H18" s="67"/>
      <c r="I18" s="63"/>
      <c r="J18" s="63"/>
      <c r="K18" s="67">
        <f>K15*'จำนวนสุกร '!B3+ค่าอาหาร!K16*'จำนวนสุกร '!B4</f>
        <v>11378815</v>
      </c>
      <c r="L18" s="63"/>
      <c r="M18" s="63"/>
      <c r="N18" s="67"/>
      <c r="O18" s="58"/>
    </row>
    <row r="19" spans="1:15" s="44" customFormat="1" x14ac:dyDescent="0.8">
      <c r="B19" s="45"/>
      <c r="C19" s="45"/>
      <c r="D19" s="49"/>
      <c r="E19" s="49"/>
      <c r="F19" s="49"/>
      <c r="G19" s="49"/>
      <c r="H19" s="55"/>
      <c r="K19" s="55"/>
    </row>
    <row r="20" spans="1:15" x14ac:dyDescent="0.8">
      <c r="A20" s="47" t="s">
        <v>129</v>
      </c>
      <c r="K20" s="54"/>
    </row>
    <row r="21" spans="1:15" x14ac:dyDescent="0.8">
      <c r="A21" s="60" t="s">
        <v>130</v>
      </c>
      <c r="B21" s="61">
        <v>25</v>
      </c>
      <c r="C21" s="62" t="s">
        <v>127</v>
      </c>
      <c r="D21" s="4" t="s">
        <v>131</v>
      </c>
      <c r="E21" s="19">
        <v>2</v>
      </c>
      <c r="F21" s="19" t="s">
        <v>132</v>
      </c>
      <c r="G21" s="19" t="s">
        <v>124</v>
      </c>
      <c r="H21" s="57">
        <f>E3</f>
        <v>28</v>
      </c>
      <c r="I21" s="19" t="s">
        <v>117</v>
      </c>
      <c r="J21" s="19" t="s">
        <v>91</v>
      </c>
      <c r="K21" s="57">
        <f>E21*H21</f>
        <v>56</v>
      </c>
      <c r="L21" s="19" t="s">
        <v>135</v>
      </c>
    </row>
    <row r="22" spans="1:15" x14ac:dyDescent="0.8">
      <c r="A22" s="60" t="s">
        <v>133</v>
      </c>
      <c r="B22" s="19"/>
      <c r="C22" s="19"/>
      <c r="D22" s="19"/>
      <c r="E22" s="19">
        <v>11</v>
      </c>
      <c r="F22" s="19" t="s">
        <v>132</v>
      </c>
      <c r="G22" s="19" t="s">
        <v>124</v>
      </c>
      <c r="H22" s="57">
        <f>E4</f>
        <v>28</v>
      </c>
      <c r="I22" s="19" t="s">
        <v>117</v>
      </c>
      <c r="J22" s="19" t="s">
        <v>91</v>
      </c>
      <c r="K22" s="57">
        <f>E22*H22</f>
        <v>308</v>
      </c>
      <c r="L22" s="19" t="s">
        <v>135</v>
      </c>
    </row>
    <row r="23" spans="1:15" x14ac:dyDescent="0.8">
      <c r="A23" s="58" t="s">
        <v>134</v>
      </c>
      <c r="B23" s="58"/>
      <c r="C23" s="58"/>
      <c r="D23" s="58"/>
      <c r="E23" s="58">
        <f>SUM(E21:E22)</f>
        <v>13</v>
      </c>
      <c r="F23" s="58" t="s">
        <v>155</v>
      </c>
      <c r="G23" s="58"/>
      <c r="H23" s="59">
        <f>(E21*H21+E22*H22)/E23</f>
        <v>28</v>
      </c>
      <c r="I23" s="58" t="s">
        <v>99</v>
      </c>
      <c r="J23" s="58"/>
      <c r="K23" s="59">
        <f>SUM(K21:K22)</f>
        <v>364</v>
      </c>
      <c r="L23" s="58" t="s">
        <v>135</v>
      </c>
    </row>
    <row r="25" spans="1:15" s="43" customFormat="1" x14ac:dyDescent="0.8">
      <c r="A25" s="88" t="s">
        <v>145</v>
      </c>
      <c r="B25" s="58"/>
      <c r="C25" s="58"/>
      <c r="D25" s="58"/>
      <c r="E25" s="58"/>
      <c r="F25" s="58"/>
      <c r="G25" s="58"/>
      <c r="H25" s="58"/>
      <c r="I25" s="58"/>
      <c r="J25" s="58"/>
      <c r="K25" s="59">
        <f>N17+K23</f>
        <v>1528.0731457800509</v>
      </c>
      <c r="L25" s="58" t="s">
        <v>135</v>
      </c>
    </row>
    <row r="27" spans="1:15" x14ac:dyDescent="0.8">
      <c r="A27" s="56" t="s">
        <v>149</v>
      </c>
      <c r="B27" s="56" t="s">
        <v>154</v>
      </c>
      <c r="C27" s="56" t="s">
        <v>153</v>
      </c>
      <c r="D27" s="56"/>
      <c r="E27" s="56" t="s">
        <v>124</v>
      </c>
      <c r="F27" s="56"/>
      <c r="G27" s="56" t="s">
        <v>91</v>
      </c>
      <c r="H27" s="56"/>
    </row>
    <row r="28" spans="1:15" x14ac:dyDescent="0.8">
      <c r="A28" s="19" t="s">
        <v>150</v>
      </c>
      <c r="B28" s="19">
        <v>2.2000000000000002</v>
      </c>
      <c r="C28" s="19">
        <v>44</v>
      </c>
      <c r="D28" s="19" t="s">
        <v>155</v>
      </c>
      <c r="E28" s="57">
        <f>E5</f>
        <v>17.666666666666668</v>
      </c>
      <c r="F28" s="19" t="s">
        <v>99</v>
      </c>
      <c r="G28" s="57">
        <f>C28*E28</f>
        <v>777.33333333333337</v>
      </c>
      <c r="H28" s="19" t="s">
        <v>125</v>
      </c>
    </row>
    <row r="29" spans="1:15" x14ac:dyDescent="0.8">
      <c r="A29" s="19" t="s">
        <v>151</v>
      </c>
      <c r="B29" s="19">
        <v>3</v>
      </c>
      <c r="C29" s="19">
        <v>105</v>
      </c>
      <c r="D29" s="19" t="s">
        <v>155</v>
      </c>
      <c r="E29" s="57">
        <f>E6</f>
        <v>16.8</v>
      </c>
      <c r="F29" s="19" t="s">
        <v>99</v>
      </c>
      <c r="G29" s="57">
        <f t="shared" ref="G29:G30" si="1">C29*E29</f>
        <v>1764</v>
      </c>
      <c r="H29" s="19" t="s">
        <v>125</v>
      </c>
    </row>
    <row r="30" spans="1:15" x14ac:dyDescent="0.8">
      <c r="A30" s="19" t="s">
        <v>152</v>
      </c>
      <c r="B30" s="19">
        <v>3.3</v>
      </c>
      <c r="C30" s="19">
        <v>99</v>
      </c>
      <c r="D30" s="19" t="s">
        <v>155</v>
      </c>
      <c r="E30" s="57">
        <f>E7</f>
        <v>15.333333333333334</v>
      </c>
      <c r="F30" s="19" t="s">
        <v>99</v>
      </c>
      <c r="G30" s="57">
        <f t="shared" si="1"/>
        <v>1518</v>
      </c>
      <c r="H30" s="19" t="s">
        <v>125</v>
      </c>
    </row>
    <row r="31" spans="1:15" s="43" customFormat="1" x14ac:dyDescent="0.8">
      <c r="A31" s="58" t="s">
        <v>91</v>
      </c>
      <c r="B31" s="58"/>
      <c r="C31" s="58">
        <f>SUM(C28:C30)</f>
        <v>248</v>
      </c>
      <c r="D31" s="58" t="s">
        <v>155</v>
      </c>
      <c r="E31" s="84">
        <f>SUMPRODUCT(C28:C30,E28:E30)/C31</f>
        <v>16.368279569892472</v>
      </c>
      <c r="F31" s="58" t="s">
        <v>99</v>
      </c>
      <c r="G31" s="59">
        <f>SUM(G28:G30)</f>
        <v>4059.3333333333335</v>
      </c>
      <c r="H31" s="58" t="s">
        <v>125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4FABC-F856-324B-AB39-D299649521A6}">
  <dimension ref="A1:D25"/>
  <sheetViews>
    <sheetView workbookViewId="0">
      <selection activeCell="I12" sqref="I12"/>
    </sheetView>
  </sheetViews>
  <sheetFormatPr defaultColWidth="10.83203125" defaultRowHeight="24" x14ac:dyDescent="0.8"/>
  <cols>
    <col min="1" max="1" width="32.5" style="39" customWidth="1"/>
    <col min="2" max="2" width="11.6640625" style="39" bestFit="1" customWidth="1"/>
    <col min="3" max="3" width="11" style="39" bestFit="1" customWidth="1"/>
    <col min="4" max="16384" width="10.83203125" style="39"/>
  </cols>
  <sheetData>
    <row r="1" spans="1:4" x14ac:dyDescent="0.8">
      <c r="A1" s="68" t="s">
        <v>227</v>
      </c>
    </row>
    <row r="2" spans="1:4" x14ac:dyDescent="0.8">
      <c r="A2" s="69" t="s">
        <v>0</v>
      </c>
      <c r="B2" s="53" t="s">
        <v>157</v>
      </c>
      <c r="C2" s="53" t="s">
        <v>158</v>
      </c>
      <c r="D2" s="53" t="s">
        <v>91</v>
      </c>
    </row>
    <row r="3" spans="1:4" x14ac:dyDescent="0.8">
      <c r="A3" s="53" t="s">
        <v>161</v>
      </c>
      <c r="B3" s="80">
        <f>SUM(B5:B10)+B4</f>
        <v>3013.5810107585967</v>
      </c>
      <c r="C3" s="80">
        <f>SUM(C5:C10)+C4</f>
        <v>22.601857580689476</v>
      </c>
      <c r="D3" s="80">
        <f>SUM(B3:C3)</f>
        <v>3036.182868339286</v>
      </c>
    </row>
    <row r="4" spans="1:4" x14ac:dyDescent="0.8">
      <c r="A4" s="39" t="s">
        <v>163</v>
      </c>
      <c r="B4" s="74">
        <f>ค่าอาหาร!N17+ค่าอาหาร!K25</f>
        <v>2692.1462915601019</v>
      </c>
      <c r="C4" s="74"/>
      <c r="D4" s="80">
        <f>SUM(B4:C4)</f>
        <v>2692.1462915601019</v>
      </c>
    </row>
    <row r="5" spans="1:4" x14ac:dyDescent="0.8">
      <c r="A5" s="39" t="s">
        <v>164</v>
      </c>
      <c r="B5" s="74">
        <f>'ค่าเสื่อม แรงงาน ดอกเบี้ย'!F15*'ค่าเสื่อม แรงงาน ดอกเบี้ย'!H2</f>
        <v>88.206125425376754</v>
      </c>
      <c r="C5" s="74"/>
      <c r="D5" s="80">
        <f t="shared" ref="D5:D10" si="0">SUM(B5:C5)</f>
        <v>88.206125425376754</v>
      </c>
    </row>
    <row r="6" spans="1:4" x14ac:dyDescent="0.8">
      <c r="A6" s="39" t="s">
        <v>165</v>
      </c>
      <c r="B6" s="74">
        <f>'ค่าเสื่อม แรงงาน ดอกเบี้ย'!D6*'ค่าเสื่อม แรงงาน ดอกเบี้ย'!H2</f>
        <v>3.7501215362177929</v>
      </c>
      <c r="C6" s="74"/>
      <c r="D6" s="80">
        <f t="shared" si="0"/>
        <v>3.7501215362177929</v>
      </c>
    </row>
    <row r="7" spans="1:4" x14ac:dyDescent="0.8">
      <c r="A7" s="39" t="s">
        <v>166</v>
      </c>
      <c r="B7" s="74">
        <f>'ค่าเสื่อม แรงงาน ดอกเบี้ย'!B23*'ค่าเสื่อม แรงงาน ดอกเบี้ย'!H2</f>
        <v>76.050559066601835</v>
      </c>
      <c r="C7" s="74"/>
      <c r="D7" s="80">
        <f t="shared" si="0"/>
        <v>76.050559066601835</v>
      </c>
    </row>
    <row r="8" spans="1:4" x14ac:dyDescent="0.8">
      <c r="A8" s="39" t="s">
        <v>167</v>
      </c>
      <c r="B8" s="74">
        <f>'จำนวนสุกร '!C30</f>
        <v>139.81585677749359</v>
      </c>
      <c r="C8" s="74"/>
      <c r="D8" s="80">
        <f t="shared" si="0"/>
        <v>139.81585677749359</v>
      </c>
    </row>
    <row r="9" spans="1:4" x14ac:dyDescent="0.8">
      <c r="A9" s="39" t="s">
        <v>168</v>
      </c>
      <c r="B9" s="74">
        <f>'ค่าเสื่อม แรงงาน ดอกเบี้ย'!F23*'ค่าเสื่อม แรงงาน ดอกเบี้ย'!H2</f>
        <v>13.612056392805055</v>
      </c>
      <c r="C9" s="74"/>
      <c r="D9" s="80">
        <f t="shared" si="0"/>
        <v>13.612056392805055</v>
      </c>
    </row>
    <row r="10" spans="1:4" x14ac:dyDescent="0.8">
      <c r="A10" s="39" t="s">
        <v>169</v>
      </c>
      <c r="B10" s="74">
        <v>0</v>
      </c>
      <c r="C10" s="74">
        <f>B3*'ค่าเสื่อม แรงงาน ดอกเบี้ย'!F26%</f>
        <v>22.601857580689476</v>
      </c>
      <c r="D10" s="80">
        <f t="shared" si="0"/>
        <v>22.601857580689476</v>
      </c>
    </row>
    <row r="11" spans="1:4" x14ac:dyDescent="0.8">
      <c r="A11" s="53" t="s">
        <v>162</v>
      </c>
      <c r="B11" s="80">
        <f>SUM(B12:B15)</f>
        <v>15.313563441905686</v>
      </c>
      <c r="C11" s="80">
        <f t="shared" ref="C11:D11" si="1">SUM(C12:C15)</f>
        <v>225.58835081834386</v>
      </c>
      <c r="D11" s="80">
        <f t="shared" si="1"/>
        <v>240.90191426024953</v>
      </c>
    </row>
    <row r="12" spans="1:4" x14ac:dyDescent="0.8">
      <c r="A12" s="39" t="s">
        <v>170</v>
      </c>
      <c r="B12" s="74">
        <f>'ค่าเสื่อม แรงงาน ดอกเบี้ย'!B30*'ค่าเสื่อม แรงงาน ดอกเบี้ย'!H2</f>
        <v>14.428779776373357</v>
      </c>
      <c r="C12" s="74">
        <f>'ค่าเสื่อม แรงงาน ดอกเบี้ย'!B33*'ค่าเสื่อม แรงงาน ดอกเบี้ย'!H2</f>
        <v>2.0418084589207584</v>
      </c>
      <c r="D12" s="74">
        <f>SUM(B12:C12)</f>
        <v>16.470588235294116</v>
      </c>
    </row>
    <row r="13" spans="1:4" x14ac:dyDescent="0.8">
      <c r="A13" s="39" t="s">
        <v>171</v>
      </c>
      <c r="B13" s="74"/>
      <c r="C13" s="74">
        <f>'ค่าเสื่อม แรงงาน ดอกเบี้ย'!B6*'ค่าเสื่อม แรงงาน ดอกเบี้ย'!H2</f>
        <v>159.86745422135795</v>
      </c>
      <c r="D13" s="74">
        <f t="shared" ref="D13:D15" si="2">SUM(B13:C13)</f>
        <v>159.86745422135795</v>
      </c>
    </row>
    <row r="14" spans="1:4" x14ac:dyDescent="0.8">
      <c r="A14" s="39" t="s">
        <v>215</v>
      </c>
      <c r="B14" s="74">
        <f>'ค่าเสื่อม แรงงาน ดอกเบี้ย'!F31*'ค่าเสื่อม แรงงาน ดอกเบี้ย'!H2</f>
        <v>0.88478366553232846</v>
      </c>
      <c r="C14" s="74"/>
      <c r="D14" s="74">
        <f t="shared" si="2"/>
        <v>0.88478366553232846</v>
      </c>
    </row>
    <row r="15" spans="1:4" x14ac:dyDescent="0.8">
      <c r="A15" s="39" t="s">
        <v>172</v>
      </c>
      <c r="B15" s="74"/>
      <c r="C15" s="74">
        <f>'ค่าเสื่อม แรงงาน ดอกเบี้ย'!C6*'ค่าเสื่อม แรงงาน ดอกเบี้ย'!H2</f>
        <v>63.67908813806514</v>
      </c>
      <c r="D15" s="74">
        <f t="shared" si="2"/>
        <v>63.67908813806514</v>
      </c>
    </row>
    <row r="16" spans="1:4" x14ac:dyDescent="0.8">
      <c r="A16" s="53" t="s">
        <v>212</v>
      </c>
      <c r="B16" s="80">
        <f>B3+B11</f>
        <v>3028.8945742005026</v>
      </c>
      <c r="C16" s="80">
        <f>C3+C11</f>
        <v>248.19020839903334</v>
      </c>
      <c r="D16" s="80">
        <f>D3+D11</f>
        <v>3277.0847825995356</v>
      </c>
    </row>
    <row r="17" spans="2:4" x14ac:dyDescent="0.8">
      <c r="B17" s="74"/>
      <c r="C17" s="74"/>
      <c r="D17" s="74"/>
    </row>
    <row r="18" spans="2:4" x14ac:dyDescent="0.8">
      <c r="B18" s="74"/>
      <c r="C18" s="74"/>
      <c r="D18" s="74"/>
    </row>
    <row r="19" spans="2:4" x14ac:dyDescent="0.8">
      <c r="B19" s="74"/>
      <c r="C19" s="74"/>
      <c r="D19" s="74"/>
    </row>
    <row r="20" spans="2:4" x14ac:dyDescent="0.8">
      <c r="B20" s="74"/>
      <c r="C20" s="74"/>
      <c r="D20" s="74"/>
    </row>
    <row r="21" spans="2:4" x14ac:dyDescent="0.8">
      <c r="B21" s="74"/>
      <c r="C21" s="74"/>
      <c r="D21" s="74"/>
    </row>
    <row r="22" spans="2:4" x14ac:dyDescent="0.8">
      <c r="B22" s="74"/>
      <c r="C22" s="74"/>
      <c r="D22" s="74"/>
    </row>
    <row r="23" spans="2:4" x14ac:dyDescent="0.8">
      <c r="B23" s="74"/>
      <c r="C23" s="74"/>
      <c r="D23" s="74"/>
    </row>
    <row r="24" spans="2:4" x14ac:dyDescent="0.8">
      <c r="B24" s="74"/>
      <c r="C24" s="74"/>
      <c r="D24" s="74"/>
    </row>
    <row r="25" spans="2:4" x14ac:dyDescent="0.8">
      <c r="B25" s="74"/>
      <c r="C25" s="74"/>
      <c r="D25" s="7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DEB15-B253-0545-B560-758985072E6E}">
  <dimension ref="A1:D29"/>
  <sheetViews>
    <sheetView topLeftCell="A13" zoomScale="140" zoomScaleNormal="140" workbookViewId="0">
      <selection activeCell="F22" sqref="F22"/>
    </sheetView>
  </sheetViews>
  <sheetFormatPr defaultColWidth="10.83203125" defaultRowHeight="24" x14ac:dyDescent="0.8"/>
  <cols>
    <col min="1" max="1" width="32.5" style="39" customWidth="1"/>
    <col min="2" max="2" width="11.6640625" style="39" bestFit="1" customWidth="1"/>
    <col min="3" max="3" width="11" style="39" bestFit="1" customWidth="1"/>
    <col min="4" max="16384" width="10.83203125" style="39"/>
  </cols>
  <sheetData>
    <row r="1" spans="1:4" x14ac:dyDescent="0.8">
      <c r="A1" s="68" t="s">
        <v>156</v>
      </c>
    </row>
    <row r="2" spans="1:4" x14ac:dyDescent="0.8">
      <c r="A2" s="132" t="s">
        <v>0</v>
      </c>
      <c r="B2" s="132" t="s">
        <v>157</v>
      </c>
      <c r="C2" s="132" t="s">
        <v>158</v>
      </c>
      <c r="D2" s="132" t="s">
        <v>91</v>
      </c>
    </row>
    <row r="3" spans="1:4" x14ac:dyDescent="0.8">
      <c r="A3" s="106" t="s">
        <v>161</v>
      </c>
      <c r="B3" s="131">
        <f>SUM(B4:B11)</f>
        <v>7735.6894904546498</v>
      </c>
      <c r="C3" s="131">
        <f t="shared" ref="C3:D3" si="0">SUM(C4:C11)</f>
        <v>58.01767117840987</v>
      </c>
      <c r="D3" s="131">
        <f t="shared" si="0"/>
        <v>7793.7071616330595</v>
      </c>
    </row>
    <row r="4" spans="1:4" x14ac:dyDescent="0.8">
      <c r="A4" s="39" t="s">
        <v>163</v>
      </c>
      <c r="B4" s="74">
        <f>ค่าอาหาร!G31</f>
        <v>4059.3333333333335</v>
      </c>
      <c r="C4" s="74"/>
      <c r="D4" s="80">
        <f>SUM(B4:C4)</f>
        <v>4059.3333333333335</v>
      </c>
    </row>
    <row r="5" spans="1:4" x14ac:dyDescent="0.8">
      <c r="A5" s="39" t="s">
        <v>220</v>
      </c>
      <c r="B5" s="74">
        <f>ต้นทุนการผลิตลูกสุกร!D16</f>
        <v>3277.0847825995356</v>
      </c>
      <c r="C5" s="74"/>
      <c r="D5" s="80">
        <f t="shared" ref="D5:D11" si="1">SUM(B5:C5)</f>
        <v>3277.0847825995356</v>
      </c>
    </row>
    <row r="6" spans="1:4" x14ac:dyDescent="0.8">
      <c r="A6" s="39" t="s">
        <v>221</v>
      </c>
      <c r="B6" s="74">
        <f>'ค่าเสื่อม แรงงาน ดอกเบี้ย'!F15</f>
        <v>126.00875060768109</v>
      </c>
      <c r="C6" s="74"/>
      <c r="D6" s="80">
        <f t="shared" si="1"/>
        <v>126.00875060768109</v>
      </c>
    </row>
    <row r="7" spans="1:4" x14ac:dyDescent="0.8">
      <c r="A7" s="39" t="s">
        <v>222</v>
      </c>
      <c r="B7" s="74">
        <f>'ค่าเสื่อม แรงงาน ดอกเบี้ย'!D6</f>
        <v>5.3573164803111331</v>
      </c>
      <c r="C7" s="74"/>
      <c r="D7" s="80">
        <f t="shared" si="1"/>
        <v>5.3573164803111331</v>
      </c>
    </row>
    <row r="8" spans="1:4" x14ac:dyDescent="0.8">
      <c r="A8" s="39" t="s">
        <v>223</v>
      </c>
      <c r="B8" s="74">
        <f>'ค่าเสื่อม แรงงาน ดอกเบี้ย'!B23</f>
        <v>108.64365580943121</v>
      </c>
      <c r="C8" s="74"/>
      <c r="D8" s="80">
        <f t="shared" si="1"/>
        <v>108.64365580943121</v>
      </c>
    </row>
    <row r="9" spans="1:4" x14ac:dyDescent="0.8">
      <c r="A9" s="39" t="s">
        <v>224</v>
      </c>
      <c r="B9" s="74">
        <f>'จำนวนสุกร '!C30</f>
        <v>139.81585677749359</v>
      </c>
      <c r="C9" s="74"/>
      <c r="D9" s="80">
        <f t="shared" si="1"/>
        <v>139.81585677749359</v>
      </c>
    </row>
    <row r="10" spans="1:4" x14ac:dyDescent="0.8">
      <c r="A10" s="39" t="s">
        <v>225</v>
      </c>
      <c r="B10" s="74">
        <f>'ค่าเสื่อม แรงงาน ดอกเบี้ย'!F23</f>
        <v>19.445794846864366</v>
      </c>
      <c r="C10" s="74"/>
      <c r="D10" s="80">
        <f t="shared" si="1"/>
        <v>19.445794846864366</v>
      </c>
    </row>
    <row r="11" spans="1:4" x14ac:dyDescent="0.8">
      <c r="A11" s="39" t="s">
        <v>226</v>
      </c>
      <c r="B11" s="74">
        <v>0</v>
      </c>
      <c r="C11" s="74">
        <f>B3*'ค่าเสื่อม แรงงาน ดอกเบี้ย'!F26%</f>
        <v>58.01767117840987</v>
      </c>
      <c r="D11" s="80">
        <f t="shared" si="1"/>
        <v>58.01767117840987</v>
      </c>
    </row>
    <row r="12" spans="1:4" x14ac:dyDescent="0.8">
      <c r="A12" s="106" t="s">
        <v>162</v>
      </c>
      <c r="B12" s="131">
        <f>SUM(B13:B16)</f>
        <v>21.87651920272241</v>
      </c>
      <c r="C12" s="131">
        <f t="shared" ref="C12:D12" si="2">SUM(C13:C16)</f>
        <v>322.26907259763408</v>
      </c>
      <c r="D12" s="131">
        <f t="shared" si="2"/>
        <v>344.1455918003565</v>
      </c>
    </row>
    <row r="13" spans="1:4" x14ac:dyDescent="0.8">
      <c r="A13" s="39" t="s">
        <v>170</v>
      </c>
      <c r="B13" s="74">
        <f>'ค่าเสื่อม แรงงาน ดอกเบี้ย'!B30</f>
        <v>20.612542537676227</v>
      </c>
      <c r="C13" s="74">
        <f>'ค่าเสื่อม แรงงาน ดอกเบี้ย'!B33</f>
        <v>2.9168692270296548</v>
      </c>
      <c r="D13" s="74">
        <f>SUM(B13:C13)</f>
        <v>23.52941176470588</v>
      </c>
    </row>
    <row r="14" spans="1:4" x14ac:dyDescent="0.8">
      <c r="A14" s="39" t="s">
        <v>171</v>
      </c>
      <c r="B14" s="74"/>
      <c r="C14" s="74">
        <f>'ค่าเสื่อม แรงงาน ดอกเบี้ย'!B6</f>
        <v>228.38207745908278</v>
      </c>
      <c r="D14" s="74">
        <f t="shared" ref="D14:D16" si="3">SUM(B14:C14)</f>
        <v>228.38207745908278</v>
      </c>
    </row>
    <row r="15" spans="1:4" x14ac:dyDescent="0.8">
      <c r="A15" s="39" t="s">
        <v>215</v>
      </c>
      <c r="B15" s="74">
        <f>'ค่าเสื่อม แรงงาน ดอกเบี้ย'!F31</f>
        <v>1.2639766650461837</v>
      </c>
      <c r="C15" s="74"/>
      <c r="D15" s="74">
        <f t="shared" si="3"/>
        <v>1.2639766650461837</v>
      </c>
    </row>
    <row r="16" spans="1:4" x14ac:dyDescent="0.8">
      <c r="A16" s="39" t="s">
        <v>172</v>
      </c>
      <c r="B16" s="74"/>
      <c r="C16" s="74">
        <f>'ค่าเสื่อม แรงงาน ดอกเบี้ย'!C6</f>
        <v>90.970125911521635</v>
      </c>
      <c r="D16" s="74">
        <f t="shared" si="3"/>
        <v>90.970125911521635</v>
      </c>
    </row>
    <row r="17" spans="1:4" x14ac:dyDescent="0.8">
      <c r="A17" s="68" t="s">
        <v>212</v>
      </c>
      <c r="B17" s="130">
        <f>B3+B12</f>
        <v>7757.566009657372</v>
      </c>
      <c r="C17" s="130">
        <f>C3+C12</f>
        <v>380.28674377604398</v>
      </c>
      <c r="D17" s="130">
        <f>D3+D12</f>
        <v>8137.8527534334162</v>
      </c>
    </row>
    <row r="18" spans="1:4" x14ac:dyDescent="0.8">
      <c r="A18" s="132" t="s">
        <v>250</v>
      </c>
      <c r="B18" s="133"/>
      <c r="C18" s="133"/>
      <c r="D18" s="133"/>
    </row>
    <row r="19" spans="1:4" x14ac:dyDescent="0.8">
      <c r="A19" s="134" t="s">
        <v>305</v>
      </c>
      <c r="B19" s="135"/>
      <c r="C19" s="135"/>
      <c r="D19" s="135">
        <f>D20*D21</f>
        <v>10710</v>
      </c>
    </row>
    <row r="20" spans="1:4" x14ac:dyDescent="0.8">
      <c r="A20" s="39" t="s">
        <v>306</v>
      </c>
      <c r="B20" s="74"/>
      <c r="C20" s="74"/>
      <c r="D20" s="74">
        <v>105</v>
      </c>
    </row>
    <row r="21" spans="1:4" x14ac:dyDescent="0.8">
      <c r="A21" s="39" t="s">
        <v>307</v>
      </c>
      <c r="B21" s="74"/>
      <c r="C21" s="74"/>
      <c r="D21" s="74">
        <v>102</v>
      </c>
    </row>
    <row r="22" spans="1:4" x14ac:dyDescent="0.8">
      <c r="A22" s="134" t="s">
        <v>308</v>
      </c>
      <c r="B22" s="135"/>
      <c r="C22" s="135"/>
      <c r="D22" s="135">
        <v>60</v>
      </c>
    </row>
    <row r="23" spans="1:4" x14ac:dyDescent="0.8">
      <c r="A23" s="68" t="s">
        <v>309</v>
      </c>
      <c r="B23" s="130"/>
      <c r="C23" s="130"/>
      <c r="D23" s="130">
        <f>D19+D22</f>
        <v>10770</v>
      </c>
    </row>
    <row r="24" spans="1:4" x14ac:dyDescent="0.8">
      <c r="A24" s="136" t="s">
        <v>303</v>
      </c>
      <c r="B24" s="137"/>
      <c r="C24" s="137"/>
      <c r="D24" s="137">
        <f>D23-D17</f>
        <v>2632.1472465665838</v>
      </c>
    </row>
    <row r="25" spans="1:4" x14ac:dyDescent="0.8">
      <c r="A25" s="136" t="s">
        <v>304</v>
      </c>
      <c r="B25" s="137"/>
      <c r="C25" s="137"/>
      <c r="D25" s="137">
        <f>D23-B3</f>
        <v>3034.3105095453502</v>
      </c>
    </row>
    <row r="26" spans="1:4" x14ac:dyDescent="0.8">
      <c r="A26" s="136" t="s">
        <v>310</v>
      </c>
      <c r="B26" s="137"/>
      <c r="C26" s="137"/>
      <c r="D26" s="137">
        <f>D23-D17</f>
        <v>2632.1472465665838</v>
      </c>
    </row>
    <row r="27" spans="1:4" x14ac:dyDescent="0.8">
      <c r="A27" s="136" t="s">
        <v>311</v>
      </c>
      <c r="B27" s="136"/>
      <c r="C27" s="136"/>
      <c r="D27" s="138">
        <f>D24/$D$21</f>
        <v>25.805365162417488</v>
      </c>
    </row>
    <row r="28" spans="1:4" x14ac:dyDescent="0.8">
      <c r="A28" s="136" t="s">
        <v>312</v>
      </c>
      <c r="B28" s="136"/>
      <c r="C28" s="136"/>
      <c r="D28" s="138">
        <f t="shared" ref="D28:D29" si="4">D25/$D$21</f>
        <v>29.748142250444609</v>
      </c>
    </row>
    <row r="29" spans="1:4" x14ac:dyDescent="0.8">
      <c r="A29" s="136" t="s">
        <v>313</v>
      </c>
      <c r="B29" s="136"/>
      <c r="C29" s="136"/>
      <c r="D29" s="138">
        <f t="shared" si="4"/>
        <v>25.805365162417488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6E377-26F4-D04B-9F2C-9AE8E946A7B0}">
  <dimension ref="A1:S51"/>
  <sheetViews>
    <sheetView topLeftCell="A35" zoomScale="120" zoomScaleNormal="120" workbookViewId="0">
      <selection activeCell="F42" sqref="F42"/>
    </sheetView>
  </sheetViews>
  <sheetFormatPr defaultColWidth="10.83203125" defaultRowHeight="24" x14ac:dyDescent="0.8"/>
  <cols>
    <col min="1" max="1" width="31.1640625" style="39" customWidth="1"/>
    <col min="2" max="2" width="12.6640625" style="41" bestFit="1" customWidth="1"/>
    <col min="3" max="3" width="17.83203125" style="39" customWidth="1"/>
    <col min="4" max="4" width="15" style="39" customWidth="1"/>
    <col min="5" max="9" width="13.1640625" style="39" customWidth="1"/>
    <col min="10" max="12" width="14.6640625" style="39" customWidth="1"/>
    <col min="13" max="13" width="14.6640625" style="39" bestFit="1" customWidth="1"/>
    <col min="14" max="14" width="16.33203125" style="39" customWidth="1"/>
    <col min="15" max="15" width="8.1640625" style="39" customWidth="1"/>
    <col min="16" max="16" width="10.83203125" style="39"/>
    <col min="17" max="17" width="4.6640625" style="39" bestFit="1" customWidth="1"/>
    <col min="18" max="18" width="7.5" style="39" customWidth="1"/>
    <col min="19" max="16384" width="10.83203125" style="39"/>
  </cols>
  <sheetData>
    <row r="1" spans="1:19" x14ac:dyDescent="0.8">
      <c r="A1" s="43" t="s">
        <v>288</v>
      </c>
      <c r="D1" s="53" t="s">
        <v>204</v>
      </c>
      <c r="G1" s="69"/>
      <c r="H1" s="49"/>
      <c r="I1" s="49"/>
    </row>
    <row r="2" spans="1:19" x14ac:dyDescent="0.8">
      <c r="A2" s="53" t="s">
        <v>246</v>
      </c>
      <c r="B2" s="99">
        <v>1500</v>
      </c>
      <c r="C2" s="53" t="s">
        <v>102</v>
      </c>
      <c r="D2" s="39" t="s">
        <v>284</v>
      </c>
      <c r="E2" s="100">
        <v>6.5000000000000002E-2</v>
      </c>
      <c r="F2" s="53" t="s">
        <v>265</v>
      </c>
      <c r="G2" s="69"/>
      <c r="H2" s="128"/>
      <c r="I2" s="49"/>
    </row>
    <row r="3" spans="1:19" x14ac:dyDescent="0.8">
      <c r="A3" s="53" t="s">
        <v>247</v>
      </c>
      <c r="B3" s="91">
        <f>15*35*2.2</f>
        <v>1155</v>
      </c>
      <c r="C3" s="53" t="s">
        <v>248</v>
      </c>
      <c r="D3" s="53" t="s">
        <v>285</v>
      </c>
      <c r="E3" s="101">
        <v>0.03</v>
      </c>
      <c r="F3" s="53" t="s">
        <v>265</v>
      </c>
      <c r="G3" s="53"/>
      <c r="H3" s="53"/>
    </row>
    <row r="5" spans="1:19" x14ac:dyDescent="0.8">
      <c r="A5" s="53" t="s">
        <v>229</v>
      </c>
      <c r="B5" s="46" t="s">
        <v>231</v>
      </c>
      <c r="C5" s="53" t="s">
        <v>232</v>
      </c>
      <c r="D5" s="53" t="s">
        <v>233</v>
      </c>
      <c r="E5" s="53" t="s">
        <v>234</v>
      </c>
      <c r="F5" s="53" t="s">
        <v>235</v>
      </c>
      <c r="G5" s="53" t="s">
        <v>236</v>
      </c>
      <c r="H5" s="53" t="s">
        <v>237</v>
      </c>
      <c r="I5" s="53" t="s">
        <v>238</v>
      </c>
      <c r="J5" s="53" t="s">
        <v>239</v>
      </c>
      <c r="K5" s="53" t="s">
        <v>240</v>
      </c>
      <c r="L5" s="53" t="s">
        <v>241</v>
      </c>
      <c r="M5" s="39" t="s">
        <v>242</v>
      </c>
    </row>
    <row r="6" spans="1:19" x14ac:dyDescent="0.8">
      <c r="A6" s="39" t="s">
        <v>244</v>
      </c>
      <c r="B6" s="102">
        <v>2500000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4">
        <f>B6*10%</f>
        <v>250000</v>
      </c>
    </row>
    <row r="7" spans="1:19" x14ac:dyDescent="0.8">
      <c r="A7" s="39" t="s">
        <v>245</v>
      </c>
      <c r="B7" s="102">
        <v>1200000</v>
      </c>
      <c r="C7" s="103">
        <v>5000</v>
      </c>
      <c r="D7" s="103">
        <v>5000</v>
      </c>
      <c r="E7" s="103">
        <v>5000</v>
      </c>
      <c r="F7" s="102">
        <v>50000</v>
      </c>
      <c r="G7" s="103">
        <v>5000</v>
      </c>
      <c r="H7" s="103">
        <v>5000</v>
      </c>
      <c r="I7" s="102">
        <v>50000</v>
      </c>
      <c r="J7" s="103">
        <v>5000</v>
      </c>
      <c r="K7" s="103">
        <v>5000</v>
      </c>
      <c r="L7" s="102"/>
      <c r="M7" s="104">
        <f>B7*2%</f>
        <v>24000</v>
      </c>
    </row>
    <row r="8" spans="1:19" x14ac:dyDescent="0.8">
      <c r="A8" s="110" t="s">
        <v>243</v>
      </c>
      <c r="B8" s="111">
        <f>SUM(B6:B7)</f>
        <v>3700000</v>
      </c>
      <c r="C8" s="111">
        <f t="shared" ref="C8:L8" si="0">SUM(C6:C7)</f>
        <v>5000</v>
      </c>
      <c r="D8" s="111">
        <f t="shared" si="0"/>
        <v>5000</v>
      </c>
      <c r="E8" s="111">
        <f t="shared" si="0"/>
        <v>5000</v>
      </c>
      <c r="F8" s="111">
        <f t="shared" si="0"/>
        <v>50000</v>
      </c>
      <c r="G8" s="111">
        <f t="shared" si="0"/>
        <v>5000</v>
      </c>
      <c r="H8" s="111">
        <f t="shared" si="0"/>
        <v>5000</v>
      </c>
      <c r="I8" s="111">
        <f t="shared" si="0"/>
        <v>50000</v>
      </c>
      <c r="J8" s="111">
        <f t="shared" si="0"/>
        <v>5000</v>
      </c>
      <c r="K8" s="111">
        <f t="shared" si="0"/>
        <v>5000</v>
      </c>
      <c r="L8" s="111">
        <f t="shared" si="0"/>
        <v>0</v>
      </c>
    </row>
    <row r="9" spans="1:19" x14ac:dyDescent="0.8">
      <c r="A9" s="98" t="s">
        <v>230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</row>
    <row r="10" spans="1:19" x14ac:dyDescent="0.8">
      <c r="A10" s="39" t="s">
        <v>163</v>
      </c>
      <c r="B10" s="127">
        <f>O10*R10</f>
        <v>5692.4</v>
      </c>
      <c r="C10" s="81">
        <f>$B10*$B$2</f>
        <v>8538600</v>
      </c>
      <c r="D10" s="81">
        <f t="shared" ref="D10:L11" si="1">$B10*$B$2</f>
        <v>8538600</v>
      </c>
      <c r="E10" s="81">
        <f t="shared" si="1"/>
        <v>8538600</v>
      </c>
      <c r="F10" s="81">
        <f t="shared" si="1"/>
        <v>8538600</v>
      </c>
      <c r="G10" s="81">
        <f t="shared" si="1"/>
        <v>8538600</v>
      </c>
      <c r="H10" s="81">
        <f t="shared" si="1"/>
        <v>8538600</v>
      </c>
      <c r="I10" s="81">
        <f t="shared" si="1"/>
        <v>8538600</v>
      </c>
      <c r="J10" s="81">
        <f t="shared" si="1"/>
        <v>8538600</v>
      </c>
      <c r="K10" s="81">
        <f t="shared" si="1"/>
        <v>8538600</v>
      </c>
      <c r="L10" s="81">
        <f t="shared" si="1"/>
        <v>8538600</v>
      </c>
      <c r="N10" s="39" t="s">
        <v>299</v>
      </c>
      <c r="O10" s="104">
        <v>280</v>
      </c>
      <c r="P10" s="39" t="s">
        <v>300</v>
      </c>
      <c r="Q10" s="39" t="s">
        <v>124</v>
      </c>
      <c r="R10" s="104">
        <v>20.329999999999998</v>
      </c>
      <c r="S10" s="39" t="s">
        <v>99</v>
      </c>
    </row>
    <row r="11" spans="1:19" x14ac:dyDescent="0.8">
      <c r="A11" s="39" t="s">
        <v>220</v>
      </c>
      <c r="B11" s="127">
        <f>O11</f>
        <v>3200</v>
      </c>
      <c r="C11" s="81">
        <f>$B11*$B$2</f>
        <v>4800000</v>
      </c>
      <c r="D11" s="81">
        <f t="shared" si="1"/>
        <v>4800000</v>
      </c>
      <c r="E11" s="81">
        <f t="shared" si="1"/>
        <v>4800000</v>
      </c>
      <c r="F11" s="81">
        <f t="shared" si="1"/>
        <v>4800000</v>
      </c>
      <c r="G11" s="81">
        <f t="shared" si="1"/>
        <v>4800000</v>
      </c>
      <c r="H11" s="81">
        <f t="shared" si="1"/>
        <v>4800000</v>
      </c>
      <c r="I11" s="81">
        <f t="shared" si="1"/>
        <v>4800000</v>
      </c>
      <c r="J11" s="81">
        <f t="shared" si="1"/>
        <v>4800000</v>
      </c>
      <c r="K11" s="81">
        <f t="shared" si="1"/>
        <v>4800000</v>
      </c>
      <c r="L11" s="81">
        <f t="shared" si="1"/>
        <v>4800000</v>
      </c>
      <c r="N11" s="39" t="s">
        <v>301</v>
      </c>
      <c r="O11" s="104">
        <v>3200</v>
      </c>
      <c r="P11" s="39" t="s">
        <v>135</v>
      </c>
    </row>
    <row r="12" spans="1:19" x14ac:dyDescent="0.8">
      <c r="A12" s="39" t="s">
        <v>221</v>
      </c>
      <c r="B12" s="105">
        <v>30000</v>
      </c>
      <c r="C12" s="81">
        <f>$B12*12</f>
        <v>360000</v>
      </c>
      <c r="D12" s="81">
        <f t="shared" ref="D12:L12" si="2">$B12*12</f>
        <v>360000</v>
      </c>
      <c r="E12" s="81">
        <f t="shared" si="2"/>
        <v>360000</v>
      </c>
      <c r="F12" s="81">
        <f t="shared" si="2"/>
        <v>360000</v>
      </c>
      <c r="G12" s="81">
        <f t="shared" si="2"/>
        <v>360000</v>
      </c>
      <c r="H12" s="81">
        <f t="shared" si="2"/>
        <v>360000</v>
      </c>
      <c r="I12" s="81">
        <f t="shared" si="2"/>
        <v>360000</v>
      </c>
      <c r="J12" s="81">
        <f t="shared" si="2"/>
        <v>360000</v>
      </c>
      <c r="K12" s="81">
        <f t="shared" si="2"/>
        <v>360000</v>
      </c>
      <c r="L12" s="81">
        <f t="shared" si="2"/>
        <v>360000</v>
      </c>
    </row>
    <row r="13" spans="1:19" x14ac:dyDescent="0.8">
      <c r="A13" s="39" t="s">
        <v>222</v>
      </c>
      <c r="B13" s="105">
        <v>10000</v>
      </c>
      <c r="C13" s="81">
        <f>$B13</f>
        <v>10000</v>
      </c>
      <c r="D13" s="81">
        <f t="shared" ref="D13:L15" si="3">$B13</f>
        <v>10000</v>
      </c>
      <c r="E13" s="81">
        <f t="shared" si="3"/>
        <v>10000</v>
      </c>
      <c r="F13" s="81">
        <v>5000</v>
      </c>
      <c r="G13" s="90">
        <v>10000</v>
      </c>
      <c r="H13" s="90">
        <v>10000</v>
      </c>
      <c r="I13" s="81">
        <v>5000</v>
      </c>
      <c r="J13" s="90">
        <v>10000</v>
      </c>
      <c r="K13" s="90">
        <v>10000</v>
      </c>
      <c r="L13" s="90">
        <v>10000</v>
      </c>
    </row>
    <row r="14" spans="1:19" x14ac:dyDescent="0.8">
      <c r="A14" s="39" t="s">
        <v>223</v>
      </c>
      <c r="B14" s="105">
        <v>180000</v>
      </c>
      <c r="C14" s="81">
        <f>$B14</f>
        <v>180000</v>
      </c>
      <c r="D14" s="81">
        <f t="shared" si="3"/>
        <v>180000</v>
      </c>
      <c r="E14" s="81">
        <f t="shared" si="3"/>
        <v>180000</v>
      </c>
      <c r="F14" s="81">
        <f t="shared" si="3"/>
        <v>180000</v>
      </c>
      <c r="G14" s="81">
        <f t="shared" si="3"/>
        <v>180000</v>
      </c>
      <c r="H14" s="81">
        <f t="shared" si="3"/>
        <v>180000</v>
      </c>
      <c r="I14" s="81">
        <f t="shared" si="3"/>
        <v>180000</v>
      </c>
      <c r="J14" s="81">
        <f t="shared" si="3"/>
        <v>180000</v>
      </c>
      <c r="K14" s="81">
        <f t="shared" si="3"/>
        <v>180000</v>
      </c>
      <c r="L14" s="81">
        <f t="shared" si="3"/>
        <v>180000</v>
      </c>
    </row>
    <row r="15" spans="1:19" x14ac:dyDescent="0.8">
      <c r="A15" s="39" t="s">
        <v>224</v>
      </c>
      <c r="B15" s="105">
        <v>200000</v>
      </c>
      <c r="C15" s="81">
        <f>$B15</f>
        <v>200000</v>
      </c>
      <c r="D15" s="81">
        <f t="shared" si="3"/>
        <v>200000</v>
      </c>
      <c r="E15" s="81">
        <f t="shared" si="3"/>
        <v>200000</v>
      </c>
      <c r="F15" s="81">
        <f t="shared" si="3"/>
        <v>200000</v>
      </c>
      <c r="G15" s="81">
        <f t="shared" si="3"/>
        <v>200000</v>
      </c>
      <c r="H15" s="81">
        <f t="shared" si="3"/>
        <v>200000</v>
      </c>
      <c r="I15" s="81">
        <f t="shared" si="3"/>
        <v>200000</v>
      </c>
      <c r="J15" s="81">
        <f t="shared" si="3"/>
        <v>200000</v>
      </c>
      <c r="K15" s="81">
        <f t="shared" si="3"/>
        <v>200000</v>
      </c>
      <c r="L15" s="81">
        <f t="shared" si="3"/>
        <v>200000</v>
      </c>
    </row>
    <row r="16" spans="1:19" x14ac:dyDescent="0.8">
      <c r="A16" s="39" t="s">
        <v>302</v>
      </c>
      <c r="B16" s="105">
        <v>300000</v>
      </c>
      <c r="C16" s="81">
        <f>$B16</f>
        <v>300000</v>
      </c>
      <c r="D16" s="81">
        <f t="shared" ref="D16:L16" si="4">$B16</f>
        <v>300000</v>
      </c>
      <c r="E16" s="81">
        <f t="shared" si="4"/>
        <v>300000</v>
      </c>
      <c r="F16" s="81">
        <f t="shared" si="4"/>
        <v>300000</v>
      </c>
      <c r="G16" s="81">
        <f t="shared" si="4"/>
        <v>300000</v>
      </c>
      <c r="H16" s="81">
        <f t="shared" si="4"/>
        <v>300000</v>
      </c>
      <c r="I16" s="81">
        <f t="shared" si="4"/>
        <v>300000</v>
      </c>
      <c r="J16" s="81">
        <f t="shared" si="4"/>
        <v>300000</v>
      </c>
      <c r="K16" s="81">
        <f t="shared" si="4"/>
        <v>300000</v>
      </c>
      <c r="L16" s="81">
        <f t="shared" si="4"/>
        <v>300000</v>
      </c>
    </row>
    <row r="17" spans="1:14" x14ac:dyDescent="0.8">
      <c r="A17" s="106" t="s">
        <v>249</v>
      </c>
      <c r="B17" s="107"/>
      <c r="C17" s="108">
        <f>SUM(C10:C16)</f>
        <v>14388600</v>
      </c>
      <c r="D17" s="108">
        <f t="shared" ref="D17:L17" si="5">SUM(D10:D16)</f>
        <v>14388600</v>
      </c>
      <c r="E17" s="108">
        <f t="shared" si="5"/>
        <v>14388600</v>
      </c>
      <c r="F17" s="108">
        <f t="shared" si="5"/>
        <v>14383600</v>
      </c>
      <c r="G17" s="108">
        <f t="shared" si="5"/>
        <v>14388600</v>
      </c>
      <c r="H17" s="108">
        <f t="shared" si="5"/>
        <v>14388600</v>
      </c>
      <c r="I17" s="108">
        <f t="shared" si="5"/>
        <v>14383600</v>
      </c>
      <c r="J17" s="108">
        <f t="shared" si="5"/>
        <v>14388600</v>
      </c>
      <c r="K17" s="108">
        <f t="shared" si="5"/>
        <v>14388600</v>
      </c>
      <c r="L17" s="108">
        <f t="shared" si="5"/>
        <v>14388600</v>
      </c>
    </row>
    <row r="18" spans="1:14" x14ac:dyDescent="0.8">
      <c r="A18" s="106" t="s">
        <v>257</v>
      </c>
      <c r="B18" s="109">
        <f>B8+B17</f>
        <v>3700000</v>
      </c>
      <c r="C18" s="109">
        <f t="shared" ref="C18:L18" si="6">C8+C17</f>
        <v>14393600</v>
      </c>
      <c r="D18" s="109">
        <f t="shared" si="6"/>
        <v>14393600</v>
      </c>
      <c r="E18" s="109">
        <f t="shared" si="6"/>
        <v>14393600</v>
      </c>
      <c r="F18" s="109">
        <f t="shared" si="6"/>
        <v>14433600</v>
      </c>
      <c r="G18" s="109">
        <f t="shared" si="6"/>
        <v>14393600</v>
      </c>
      <c r="H18" s="109">
        <f t="shared" si="6"/>
        <v>14393600</v>
      </c>
      <c r="I18" s="109">
        <f t="shared" si="6"/>
        <v>14433600</v>
      </c>
      <c r="J18" s="109">
        <f t="shared" si="6"/>
        <v>14393600</v>
      </c>
      <c r="K18" s="109">
        <f t="shared" si="6"/>
        <v>14393600</v>
      </c>
      <c r="L18" s="109">
        <f t="shared" si="6"/>
        <v>14388600</v>
      </c>
    </row>
    <row r="19" spans="1:14" x14ac:dyDescent="0.8">
      <c r="A19" s="53" t="s">
        <v>250</v>
      </c>
    </row>
    <row r="20" spans="1:14" x14ac:dyDescent="0.8">
      <c r="A20" s="39" t="s">
        <v>267</v>
      </c>
      <c r="B20" s="124">
        <v>0.1</v>
      </c>
      <c r="C20" s="75">
        <f t="shared" ref="C20:L20" si="7">$B$2*(1-$B$20)</f>
        <v>1350</v>
      </c>
      <c r="D20" s="75">
        <f t="shared" si="7"/>
        <v>1350</v>
      </c>
      <c r="E20" s="75">
        <f t="shared" si="7"/>
        <v>1350</v>
      </c>
      <c r="F20" s="75">
        <f t="shared" si="7"/>
        <v>1350</v>
      </c>
      <c r="G20" s="75">
        <f t="shared" si="7"/>
        <v>1350</v>
      </c>
      <c r="H20" s="75">
        <f t="shared" si="7"/>
        <v>1350</v>
      </c>
      <c r="I20" s="75">
        <f t="shared" si="7"/>
        <v>1350</v>
      </c>
      <c r="J20" s="75">
        <f t="shared" si="7"/>
        <v>1350</v>
      </c>
      <c r="K20" s="75">
        <f t="shared" si="7"/>
        <v>1350</v>
      </c>
      <c r="L20" s="75">
        <f t="shared" si="7"/>
        <v>1350</v>
      </c>
    </row>
    <row r="21" spans="1:14" x14ac:dyDescent="0.8">
      <c r="A21" s="39" t="s">
        <v>251</v>
      </c>
      <c r="B21" s="103">
        <v>110</v>
      </c>
      <c r="C21" s="75">
        <f>$B21</f>
        <v>110</v>
      </c>
      <c r="D21" s="75">
        <f t="shared" ref="D21:L21" si="8">$B21</f>
        <v>110</v>
      </c>
      <c r="E21" s="75">
        <f t="shared" si="8"/>
        <v>110</v>
      </c>
      <c r="F21" s="75">
        <f t="shared" si="8"/>
        <v>110</v>
      </c>
      <c r="G21" s="75">
        <f t="shared" si="8"/>
        <v>110</v>
      </c>
      <c r="H21" s="75">
        <f t="shared" si="8"/>
        <v>110</v>
      </c>
      <c r="I21" s="75">
        <f t="shared" si="8"/>
        <v>110</v>
      </c>
      <c r="J21" s="75">
        <f t="shared" si="8"/>
        <v>110</v>
      </c>
      <c r="K21" s="75">
        <f t="shared" si="8"/>
        <v>110</v>
      </c>
      <c r="L21" s="75">
        <f t="shared" si="8"/>
        <v>110</v>
      </c>
    </row>
    <row r="22" spans="1:14" x14ac:dyDescent="0.8">
      <c r="A22" s="39" t="s">
        <v>252</v>
      </c>
      <c r="B22" s="103">
        <v>100</v>
      </c>
      <c r="C22" s="75">
        <f>$B22</f>
        <v>100</v>
      </c>
      <c r="D22" s="75">
        <f t="shared" ref="D22:L22" si="9">$B22</f>
        <v>100</v>
      </c>
      <c r="E22" s="75">
        <f t="shared" si="9"/>
        <v>100</v>
      </c>
      <c r="F22" s="75">
        <f t="shared" si="9"/>
        <v>100</v>
      </c>
      <c r="G22" s="75">
        <f t="shared" si="9"/>
        <v>100</v>
      </c>
      <c r="H22" s="75">
        <f t="shared" si="9"/>
        <v>100</v>
      </c>
      <c r="I22" s="75">
        <f t="shared" si="9"/>
        <v>100</v>
      </c>
      <c r="J22" s="75">
        <f t="shared" si="9"/>
        <v>100</v>
      </c>
      <c r="K22" s="75">
        <f t="shared" si="9"/>
        <v>100</v>
      </c>
      <c r="L22" s="75">
        <f t="shared" si="9"/>
        <v>100</v>
      </c>
    </row>
    <row r="23" spans="1:14" x14ac:dyDescent="0.8">
      <c r="A23" s="39" t="s">
        <v>253</v>
      </c>
      <c r="B23" s="89"/>
      <c r="C23" s="75">
        <f>C20*C21*C22</f>
        <v>14850000</v>
      </c>
      <c r="D23" s="75">
        <f t="shared" ref="D23:L23" si="10">D20*D21*D22</f>
        <v>14850000</v>
      </c>
      <c r="E23" s="75">
        <f t="shared" si="10"/>
        <v>14850000</v>
      </c>
      <c r="F23" s="75">
        <f t="shared" si="10"/>
        <v>14850000</v>
      </c>
      <c r="G23" s="75">
        <f t="shared" si="10"/>
        <v>14850000</v>
      </c>
      <c r="H23" s="75">
        <f t="shared" si="10"/>
        <v>14850000</v>
      </c>
      <c r="I23" s="75">
        <f t="shared" si="10"/>
        <v>14850000</v>
      </c>
      <c r="J23" s="75">
        <f t="shared" si="10"/>
        <v>14850000</v>
      </c>
      <c r="K23" s="75">
        <f t="shared" si="10"/>
        <v>14850000</v>
      </c>
      <c r="L23" s="75">
        <f t="shared" si="10"/>
        <v>14850000</v>
      </c>
    </row>
    <row r="24" spans="1:14" x14ac:dyDescent="0.8">
      <c r="A24" s="39" t="s">
        <v>254</v>
      </c>
      <c r="B24" s="105">
        <v>84000</v>
      </c>
      <c r="C24" s="81">
        <f>$B24</f>
        <v>84000</v>
      </c>
      <c r="D24" s="81">
        <f t="shared" ref="D24:L24" si="11">$B24</f>
        <v>84000</v>
      </c>
      <c r="E24" s="81">
        <f t="shared" si="11"/>
        <v>84000</v>
      </c>
      <c r="F24" s="81">
        <f t="shared" si="11"/>
        <v>84000</v>
      </c>
      <c r="G24" s="81">
        <f t="shared" si="11"/>
        <v>84000</v>
      </c>
      <c r="H24" s="81">
        <f t="shared" si="11"/>
        <v>84000</v>
      </c>
      <c r="I24" s="81">
        <f t="shared" si="11"/>
        <v>84000</v>
      </c>
      <c r="J24" s="81">
        <f t="shared" si="11"/>
        <v>84000</v>
      </c>
      <c r="K24" s="81">
        <f t="shared" si="11"/>
        <v>84000</v>
      </c>
      <c r="L24" s="81">
        <f t="shared" si="11"/>
        <v>84000</v>
      </c>
    </row>
    <row r="25" spans="1:14" x14ac:dyDescent="0.8">
      <c r="A25" s="39" t="s">
        <v>255</v>
      </c>
      <c r="B25" s="125">
        <v>800</v>
      </c>
      <c r="C25" s="75">
        <f t="shared" ref="C25:L25" si="12">$B$2*$B$20*$B25</f>
        <v>120000</v>
      </c>
      <c r="D25" s="75">
        <f t="shared" si="12"/>
        <v>120000</v>
      </c>
      <c r="E25" s="75">
        <f t="shared" si="12"/>
        <v>120000</v>
      </c>
      <c r="F25" s="75">
        <f t="shared" si="12"/>
        <v>120000</v>
      </c>
      <c r="G25" s="75">
        <f t="shared" si="12"/>
        <v>120000</v>
      </c>
      <c r="H25" s="75">
        <f t="shared" si="12"/>
        <v>120000</v>
      </c>
      <c r="I25" s="75">
        <f t="shared" si="12"/>
        <v>120000</v>
      </c>
      <c r="J25" s="75">
        <f t="shared" si="12"/>
        <v>120000</v>
      </c>
      <c r="K25" s="75">
        <f t="shared" si="12"/>
        <v>120000</v>
      </c>
      <c r="L25" s="75">
        <f t="shared" si="12"/>
        <v>120000</v>
      </c>
    </row>
    <row r="26" spans="1:14" x14ac:dyDescent="0.8">
      <c r="A26" s="106" t="s">
        <v>256</v>
      </c>
      <c r="B26" s="107"/>
      <c r="C26" s="112">
        <f>C23+C24+C25</f>
        <v>15054000</v>
      </c>
      <c r="D26" s="112">
        <f t="shared" ref="D26:L26" si="13">D23+D24+D25</f>
        <v>15054000</v>
      </c>
      <c r="E26" s="112">
        <f t="shared" si="13"/>
        <v>15054000</v>
      </c>
      <c r="F26" s="112">
        <f t="shared" si="13"/>
        <v>15054000</v>
      </c>
      <c r="G26" s="112">
        <f t="shared" si="13"/>
        <v>15054000</v>
      </c>
      <c r="H26" s="112">
        <f t="shared" si="13"/>
        <v>15054000</v>
      </c>
      <c r="I26" s="112">
        <f t="shared" si="13"/>
        <v>15054000</v>
      </c>
      <c r="J26" s="112">
        <f t="shared" si="13"/>
        <v>15054000</v>
      </c>
      <c r="K26" s="112">
        <f t="shared" si="13"/>
        <v>15054000</v>
      </c>
      <c r="L26" s="112">
        <f t="shared" si="13"/>
        <v>15054000</v>
      </c>
      <c r="M26" s="109">
        <f>SUM(M6:M7)</f>
        <v>274000</v>
      </c>
    </row>
    <row r="27" spans="1:14" x14ac:dyDescent="0.8">
      <c r="A27" s="106" t="s">
        <v>286</v>
      </c>
      <c r="B27" s="105">
        <v>9000</v>
      </c>
      <c r="C27" s="81">
        <f>$B27</f>
        <v>9000</v>
      </c>
      <c r="D27" s="81">
        <f t="shared" ref="D27:L27" si="14">$B27</f>
        <v>9000</v>
      </c>
      <c r="E27" s="81">
        <f t="shared" si="14"/>
        <v>9000</v>
      </c>
      <c r="F27" s="81">
        <f t="shared" si="14"/>
        <v>9000</v>
      </c>
      <c r="G27" s="81">
        <f t="shared" si="14"/>
        <v>9000</v>
      </c>
      <c r="H27" s="81">
        <f t="shared" si="14"/>
        <v>9000</v>
      </c>
      <c r="I27" s="81">
        <f t="shared" si="14"/>
        <v>9000</v>
      </c>
      <c r="J27" s="81">
        <f t="shared" si="14"/>
        <v>9000</v>
      </c>
      <c r="K27" s="81">
        <f t="shared" si="14"/>
        <v>9000</v>
      </c>
      <c r="L27" s="81">
        <f t="shared" si="14"/>
        <v>9000</v>
      </c>
      <c r="M27" s="129"/>
    </row>
    <row r="28" spans="1:14" x14ac:dyDescent="0.8">
      <c r="A28" s="106" t="s">
        <v>287</v>
      </c>
      <c r="B28" s="126">
        <f>B26-B18</f>
        <v>-3700000</v>
      </c>
      <c r="C28" s="109">
        <f>C26-C18-C27</f>
        <v>651400</v>
      </c>
      <c r="D28" s="109">
        <f t="shared" ref="D28:L28" si="15">D26-D18-D27</f>
        <v>651400</v>
      </c>
      <c r="E28" s="109">
        <f t="shared" si="15"/>
        <v>651400</v>
      </c>
      <c r="F28" s="109">
        <f t="shared" si="15"/>
        <v>611400</v>
      </c>
      <c r="G28" s="109">
        <f t="shared" si="15"/>
        <v>651400</v>
      </c>
      <c r="H28" s="109">
        <f t="shared" si="15"/>
        <v>651400</v>
      </c>
      <c r="I28" s="109">
        <f t="shared" si="15"/>
        <v>611400</v>
      </c>
      <c r="J28" s="109">
        <f t="shared" si="15"/>
        <v>651400</v>
      </c>
      <c r="K28" s="109">
        <f t="shared" si="15"/>
        <v>651400</v>
      </c>
      <c r="L28" s="109">
        <f t="shared" si="15"/>
        <v>656400</v>
      </c>
      <c r="M28" s="109">
        <f>M26-M18</f>
        <v>274000</v>
      </c>
    </row>
    <row r="29" spans="1:14" x14ac:dyDescent="0.8">
      <c r="A29" s="106" t="s">
        <v>279</v>
      </c>
      <c r="B29" s="126">
        <f>B28</f>
        <v>-3700000</v>
      </c>
      <c r="C29" s="126">
        <f>B29+C28</f>
        <v>-3048600</v>
      </c>
      <c r="D29" s="126">
        <f t="shared" ref="D29:L29" si="16">C29+D28</f>
        <v>-2397200</v>
      </c>
      <c r="E29" s="126">
        <f t="shared" si="16"/>
        <v>-1745800</v>
      </c>
      <c r="F29" s="126">
        <f t="shared" si="16"/>
        <v>-1134400</v>
      </c>
      <c r="G29" s="126">
        <f t="shared" si="16"/>
        <v>-483000</v>
      </c>
      <c r="H29" s="126">
        <f t="shared" si="16"/>
        <v>168400</v>
      </c>
      <c r="I29" s="126">
        <f t="shared" si="16"/>
        <v>779800</v>
      </c>
      <c r="J29" s="126">
        <f t="shared" si="16"/>
        <v>1431200</v>
      </c>
      <c r="K29" s="126">
        <f t="shared" si="16"/>
        <v>2082600</v>
      </c>
      <c r="L29" s="126">
        <f t="shared" si="16"/>
        <v>2739000</v>
      </c>
      <c r="M29" s="126">
        <f>L29+M28</f>
        <v>3013000</v>
      </c>
    </row>
    <row r="30" spans="1:14" x14ac:dyDescent="0.8">
      <c r="A30" s="53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</row>
    <row r="31" spans="1:14" x14ac:dyDescent="0.8">
      <c r="A31" s="53" t="s">
        <v>264</v>
      </c>
      <c r="B31" s="46">
        <v>0</v>
      </c>
      <c r="C31" s="46">
        <v>1</v>
      </c>
      <c r="D31" s="46">
        <v>2</v>
      </c>
      <c r="E31" s="46">
        <v>3</v>
      </c>
      <c r="F31" s="46">
        <v>4</v>
      </c>
      <c r="G31" s="46">
        <v>5</v>
      </c>
      <c r="H31" s="46">
        <v>6</v>
      </c>
      <c r="I31" s="46">
        <v>7</v>
      </c>
      <c r="J31" s="46">
        <v>8</v>
      </c>
      <c r="K31" s="46">
        <v>9</v>
      </c>
      <c r="L31" s="46">
        <v>10</v>
      </c>
      <c r="M31" s="46">
        <v>11</v>
      </c>
      <c r="N31" s="46" t="s">
        <v>91</v>
      </c>
    </row>
    <row r="32" spans="1:14" x14ac:dyDescent="0.8">
      <c r="A32" s="53" t="s">
        <v>263</v>
      </c>
      <c r="B32" s="41">
        <f>1/(1+$E$2%)^B31</f>
        <v>1</v>
      </c>
      <c r="C32" s="93">
        <f>1/(1+$E$2)^C31</f>
        <v>0.93896713615023475</v>
      </c>
      <c r="D32" s="93">
        <f t="shared" ref="D32:M32" si="17">1/(1+$E$2)^D31</f>
        <v>0.88165928277017358</v>
      </c>
      <c r="E32" s="93">
        <f t="shared" si="17"/>
        <v>0.82784909180297994</v>
      </c>
      <c r="F32" s="93">
        <f t="shared" si="17"/>
        <v>0.77732309089481699</v>
      </c>
      <c r="G32" s="93">
        <f t="shared" si="17"/>
        <v>0.72988083652095492</v>
      </c>
      <c r="H32" s="93">
        <f t="shared" si="17"/>
        <v>0.68533411879901873</v>
      </c>
      <c r="I32" s="93">
        <f t="shared" si="17"/>
        <v>0.64350621483475945</v>
      </c>
      <c r="J32" s="93">
        <f t="shared" si="17"/>
        <v>0.60423118763827188</v>
      </c>
      <c r="K32" s="93">
        <f t="shared" si="17"/>
        <v>0.56735322782936326</v>
      </c>
      <c r="L32" s="93">
        <f t="shared" si="17"/>
        <v>0.53272603552052888</v>
      </c>
      <c r="M32" s="93">
        <f t="shared" si="17"/>
        <v>0.50021223992537933</v>
      </c>
    </row>
    <row r="33" spans="1:14" x14ac:dyDescent="0.8">
      <c r="A33" s="53" t="s">
        <v>261</v>
      </c>
      <c r="B33" s="92">
        <f t="shared" ref="B33:M33" si="18">B18*B32</f>
        <v>3700000</v>
      </c>
      <c r="C33" s="92">
        <f t="shared" si="18"/>
        <v>13515117.370892018</v>
      </c>
      <c r="D33" s="92">
        <f t="shared" si="18"/>
        <v>12690251.05248077</v>
      </c>
      <c r="E33" s="92">
        <f t="shared" si="18"/>
        <v>11915728.687775372</v>
      </c>
      <c r="F33" s="92">
        <f t="shared" si="18"/>
        <v>11219570.56473943</v>
      </c>
      <c r="G33" s="92">
        <f t="shared" si="18"/>
        <v>10505612.808548016</v>
      </c>
      <c r="H33" s="92">
        <f t="shared" si="18"/>
        <v>9864425.1723455563</v>
      </c>
      <c r="I33" s="92">
        <f t="shared" si="18"/>
        <v>9288111.3024389837</v>
      </c>
      <c r="J33" s="92">
        <f t="shared" si="18"/>
        <v>8697062.0223902296</v>
      </c>
      <c r="K33" s="92">
        <f t="shared" si="18"/>
        <v>8166255.4200847233</v>
      </c>
      <c r="L33" s="92">
        <f t="shared" si="18"/>
        <v>7665181.8346906817</v>
      </c>
      <c r="M33" s="92">
        <f t="shared" si="18"/>
        <v>0</v>
      </c>
      <c r="N33" s="94">
        <f>SUM(B33:M33)</f>
        <v>107227316.23638579</v>
      </c>
    </row>
    <row r="34" spans="1:14" x14ac:dyDescent="0.8">
      <c r="A34" s="53" t="s">
        <v>262</v>
      </c>
      <c r="B34" s="92">
        <f t="shared" ref="B34:M34" si="19">B26*B32</f>
        <v>0</v>
      </c>
      <c r="C34" s="92">
        <f t="shared" si="19"/>
        <v>14135211.267605634</v>
      </c>
      <c r="D34" s="92">
        <f t="shared" si="19"/>
        <v>13272498.842822192</v>
      </c>
      <c r="E34" s="92">
        <f t="shared" si="19"/>
        <v>12462440.22800206</v>
      </c>
      <c r="F34" s="92">
        <f t="shared" si="19"/>
        <v>11701821.810330575</v>
      </c>
      <c r="G34" s="92">
        <f t="shared" si="19"/>
        <v>10987626.112986455</v>
      </c>
      <c r="H34" s="92">
        <f t="shared" si="19"/>
        <v>10317019.824400429</v>
      </c>
      <c r="I34" s="92">
        <f t="shared" si="19"/>
        <v>9687342.5581224691</v>
      </c>
      <c r="J34" s="92">
        <f t="shared" si="19"/>
        <v>9096096.2987065446</v>
      </c>
      <c r="K34" s="92">
        <f t="shared" si="19"/>
        <v>8540935.4917432349</v>
      </c>
      <c r="L34" s="92">
        <f t="shared" si="19"/>
        <v>8019657.7387260422</v>
      </c>
      <c r="M34" s="92">
        <f t="shared" si="19"/>
        <v>137058.15373955393</v>
      </c>
      <c r="N34" s="94">
        <f>SUM(B34:M34)</f>
        <v>108357708.3271852</v>
      </c>
    </row>
    <row r="35" spans="1:14" x14ac:dyDescent="0.8">
      <c r="A35" s="53" t="s">
        <v>266</v>
      </c>
      <c r="B35" s="92">
        <f t="shared" ref="B35:M35" si="20">B28*B32</f>
        <v>-3700000</v>
      </c>
      <c r="C35" s="92">
        <f t="shared" si="20"/>
        <v>611643.1924882629</v>
      </c>
      <c r="D35" s="92">
        <f t="shared" si="20"/>
        <v>574312.85679649108</v>
      </c>
      <c r="E35" s="92">
        <f t="shared" si="20"/>
        <v>539260.89840046118</v>
      </c>
      <c r="F35" s="92">
        <f t="shared" si="20"/>
        <v>475255.3377730911</v>
      </c>
      <c r="G35" s="92">
        <f t="shared" si="20"/>
        <v>475444.37690975005</v>
      </c>
      <c r="H35" s="92">
        <f t="shared" si="20"/>
        <v>446426.64498568082</v>
      </c>
      <c r="I35" s="92">
        <f t="shared" si="20"/>
        <v>393439.69974997191</v>
      </c>
      <c r="J35" s="92">
        <f t="shared" si="20"/>
        <v>393596.19562757033</v>
      </c>
      <c r="K35" s="92">
        <f t="shared" si="20"/>
        <v>369573.89260804723</v>
      </c>
      <c r="L35" s="92">
        <f t="shared" si="20"/>
        <v>349681.36971567519</v>
      </c>
      <c r="M35" s="92">
        <f t="shared" si="20"/>
        <v>137058.15373955393</v>
      </c>
      <c r="N35" s="94">
        <f>SUM(B35:M35)</f>
        <v>1065692.6187945558</v>
      </c>
    </row>
    <row r="36" spans="1:14" x14ac:dyDescent="0.8">
      <c r="A36" s="53" t="s">
        <v>280</v>
      </c>
      <c r="B36" s="95">
        <f>B35</f>
        <v>-3700000</v>
      </c>
      <c r="C36" s="54">
        <f>B36+C35</f>
        <v>-3088356.8075117371</v>
      </c>
      <c r="D36" s="54">
        <f t="shared" ref="D36:M36" si="21">C36+D35</f>
        <v>-2514043.9507152461</v>
      </c>
      <c r="E36" s="54">
        <f t="shared" si="21"/>
        <v>-1974783.0523147848</v>
      </c>
      <c r="F36" s="54">
        <f t="shared" si="21"/>
        <v>-1499527.7145416937</v>
      </c>
      <c r="G36" s="54">
        <f t="shared" si="21"/>
        <v>-1024083.3376319436</v>
      </c>
      <c r="H36" s="54">
        <f t="shared" si="21"/>
        <v>-577656.69264626282</v>
      </c>
      <c r="I36" s="54">
        <f t="shared" si="21"/>
        <v>-184216.9928962909</v>
      </c>
      <c r="J36" s="54">
        <f t="shared" si="21"/>
        <v>209379.20273127942</v>
      </c>
      <c r="K36" s="54">
        <f t="shared" si="21"/>
        <v>578953.09533932665</v>
      </c>
      <c r="L36" s="54">
        <f t="shared" si="21"/>
        <v>928634.4650550019</v>
      </c>
      <c r="M36" s="54">
        <f t="shared" si="21"/>
        <v>1065692.6187945558</v>
      </c>
    </row>
    <row r="38" spans="1:14" ht="27" x14ac:dyDescent="0.9">
      <c r="A38" s="114" t="s">
        <v>271</v>
      </c>
      <c r="B38" s="114" t="s">
        <v>258</v>
      </c>
      <c r="C38" s="115">
        <f>NPV(E2,C28:M28)+B28</f>
        <v>1065692.6187945558</v>
      </c>
      <c r="E38" s="89" t="s">
        <v>290</v>
      </c>
      <c r="F38" s="53" t="s">
        <v>289</v>
      </c>
    </row>
    <row r="39" spans="1:14" ht="6" customHeight="1" x14ac:dyDescent="0.9">
      <c r="A39" s="116"/>
      <c r="B39" s="116"/>
      <c r="C39" s="117"/>
    </row>
    <row r="40" spans="1:14" ht="27" x14ac:dyDescent="0.9">
      <c r="A40" s="114" t="s">
        <v>298</v>
      </c>
      <c r="B40" s="114" t="s">
        <v>260</v>
      </c>
      <c r="C40" s="118">
        <f>N34/N33</f>
        <v>1.0105420160689971</v>
      </c>
      <c r="D40" s="53" t="s">
        <v>275</v>
      </c>
      <c r="E40" s="89" t="s">
        <v>290</v>
      </c>
      <c r="F40" s="39" t="s">
        <v>291</v>
      </c>
    </row>
    <row r="41" spans="1:14" ht="6" customHeight="1" x14ac:dyDescent="0.9">
      <c r="A41" s="116"/>
      <c r="B41" s="116"/>
      <c r="C41" s="119"/>
      <c r="D41" s="53"/>
    </row>
    <row r="42" spans="1:14" ht="27" x14ac:dyDescent="0.9">
      <c r="A42" s="114" t="s">
        <v>278</v>
      </c>
      <c r="B42" s="114" t="s">
        <v>282</v>
      </c>
      <c r="C42" s="118">
        <f>(MATCH(0,B29:L29)-1)+(0-INDEX(B29:L29,MATCH(0,B29:L29)))/(INDEX(B29:L29,MATCH(0,B29:L29)+1)-INDEX(B29:L29,MATCH(0,B29:L29)))</f>
        <v>5.7414798894688364</v>
      </c>
      <c r="D42" s="53" t="s">
        <v>281</v>
      </c>
      <c r="E42" s="89" t="s">
        <v>290</v>
      </c>
      <c r="F42" s="39" t="s">
        <v>292</v>
      </c>
    </row>
    <row r="43" spans="1:14" ht="27" x14ac:dyDescent="0.9">
      <c r="A43" s="114"/>
      <c r="B43" s="120" t="s">
        <v>283</v>
      </c>
      <c r="C43" s="118">
        <f>(MATCH(0,B36:L36)-1)+(0-INDEX(B36:L36,MATCH(0,B36:L36)))/(INDEX(B36:L36,MATCH(0,B36:L36)+1)-INDEX(B36:L36,MATCH(0,B36:L36)))</f>
        <v>7.4680355017216709</v>
      </c>
      <c r="D43" s="53" t="s">
        <v>281</v>
      </c>
      <c r="E43" s="89" t="s">
        <v>290</v>
      </c>
      <c r="F43" s="113" t="s">
        <v>293</v>
      </c>
      <c r="G43" s="53"/>
    </row>
    <row r="44" spans="1:14" ht="6" customHeight="1" x14ac:dyDescent="0.9">
      <c r="A44" s="116"/>
      <c r="B44" s="121"/>
      <c r="C44" s="119"/>
      <c r="D44" s="53"/>
      <c r="E44" s="97"/>
      <c r="F44" s="96"/>
      <c r="G44" s="53"/>
    </row>
    <row r="45" spans="1:14" ht="27" x14ac:dyDescent="0.9">
      <c r="A45" s="114" t="s">
        <v>272</v>
      </c>
      <c r="B45" s="114" t="s">
        <v>259</v>
      </c>
      <c r="C45" s="122">
        <f>IRR(B28:M28, )</f>
        <v>0.12111718729230647</v>
      </c>
      <c r="E45" s="89" t="s">
        <v>290</v>
      </c>
      <c r="F45" s="39" t="s">
        <v>294</v>
      </c>
    </row>
    <row r="46" spans="1:14" ht="6" customHeight="1" x14ac:dyDescent="0.9">
      <c r="A46" s="116"/>
      <c r="B46" s="116"/>
      <c r="C46" s="123"/>
    </row>
    <row r="47" spans="1:14" ht="27" x14ac:dyDescent="0.9">
      <c r="A47" s="114" t="s">
        <v>273</v>
      </c>
      <c r="B47" s="114" t="s">
        <v>268</v>
      </c>
      <c r="C47" s="122">
        <f>MIRR(B28:M28,E2,E3)</f>
        <v>7.1100706193744534E-2</v>
      </c>
      <c r="E47" s="89" t="s">
        <v>290</v>
      </c>
      <c r="F47" s="39" t="s">
        <v>295</v>
      </c>
    </row>
    <row r="48" spans="1:14" ht="6" customHeight="1" x14ac:dyDescent="0.9">
      <c r="A48" s="116"/>
      <c r="B48" s="116"/>
      <c r="C48" s="123"/>
    </row>
    <row r="49" spans="1:6" ht="27" x14ac:dyDescent="0.9">
      <c r="A49" s="114" t="s">
        <v>274</v>
      </c>
      <c r="B49" s="114"/>
      <c r="C49" s="114"/>
    </row>
    <row r="50" spans="1:6" ht="27" x14ac:dyDescent="0.9">
      <c r="A50" s="114" t="s">
        <v>276</v>
      </c>
      <c r="B50" s="114" t="s">
        <v>269</v>
      </c>
      <c r="C50" s="118">
        <f>C38/N34%</f>
        <v>0.98349497718861478</v>
      </c>
      <c r="D50" s="53" t="s">
        <v>137</v>
      </c>
      <c r="E50" s="89" t="s">
        <v>290</v>
      </c>
      <c r="F50" s="39" t="s">
        <v>296</v>
      </c>
    </row>
    <row r="51" spans="1:6" ht="27" x14ac:dyDescent="0.9">
      <c r="A51" s="114" t="s">
        <v>277</v>
      </c>
      <c r="B51" s="114" t="s">
        <v>270</v>
      </c>
      <c r="C51" s="118">
        <f>N35/N33%</f>
        <v>0.99386299704191494</v>
      </c>
      <c r="D51" s="53" t="s">
        <v>137</v>
      </c>
      <c r="E51" s="89" t="s">
        <v>290</v>
      </c>
      <c r="F51" s="39" t="s">
        <v>297</v>
      </c>
    </row>
  </sheetData>
  <phoneticPr fontId="1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703C9A4BE8FA4DA8122BAF342C752D" ma:contentTypeVersion="10" ma:contentTypeDescription="Create a new document." ma:contentTypeScope="" ma:versionID="adbbee95ffef155394c391bd45ed2f27">
  <xsd:schema xmlns:xsd="http://www.w3.org/2001/XMLSchema" xmlns:xs="http://www.w3.org/2001/XMLSchema" xmlns:p="http://schemas.microsoft.com/office/2006/metadata/properties" xmlns:ns2="8dbeb871-b0b2-4fe3-bcfe-824d1d669434" targetNamespace="http://schemas.microsoft.com/office/2006/metadata/properties" ma:root="true" ma:fieldsID="40a5ca24876c0de081437e2bfd898838" ns2:_="">
    <xsd:import namespace="8dbeb871-b0b2-4fe3-bcfe-824d1d6694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eb871-b0b2-4fe3-bcfe-824d1d6694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B30A97-C35E-420C-BCDA-10B8FC5A6D4F}">
  <ds:schemaRefs>
    <ds:schemaRef ds:uri="http://purl.org/dc/terms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8dbeb871-b0b2-4fe3-bcfe-824d1d66943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9439F27-F7C0-468B-97BA-56677883B7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eb871-b0b2-4fe3-bcfe-824d1d6694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308F6C-BC9A-4A51-87DF-032946ECF3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ค่าเสื่อมโรงเรือน</vt:lpstr>
      <vt:lpstr>ค่าเสื่อมอุปกรณ์+พ่อแม่พันธุ์</vt:lpstr>
      <vt:lpstr>จำนวนสุกร </vt:lpstr>
      <vt:lpstr>ค่าเสื่อม แรงงาน ดอกเบี้ย</vt:lpstr>
      <vt:lpstr>ค่าอาหาร</vt:lpstr>
      <vt:lpstr>ต้นทุนการผลิตลูกสุกร</vt:lpstr>
      <vt:lpstr>ต้นทุนการผลิตสุกรขุน</vt:lpstr>
      <vt:lpstr>Investment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Suwanna Sayruamyat</dc:creator>
  <cp:lastModifiedBy>Suwanna Sayruamyat</cp:lastModifiedBy>
  <dcterms:created xsi:type="dcterms:W3CDTF">2022-05-29T10:47:51Z</dcterms:created>
  <dcterms:modified xsi:type="dcterms:W3CDTF">2022-06-07T06:52:09Z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0x01010062703C9A4BE8FA4DA8122BAF342C752D</vt:lpwstr>
  </property>
</Properties>
</file>