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wan\Downloads\"/>
    </mc:Choice>
  </mc:AlternateContent>
  <xr:revisionPtr revIDLastSave="0" documentId="8_{CCDFC68B-3DFC-4FA7-9228-2F354686D8A8}" xr6:coauthVersionLast="47" xr6:coauthVersionMax="47" xr10:uidLastSave="{00000000-0000-0000-0000-000000000000}"/>
  <bookViews>
    <workbookView xWindow="-110" yWindow="590" windowWidth="18960" windowHeight="20080" firstSheet="4" activeTab="4" xr2:uid="{F5716700-47F2-43EA-9AB0-68BAB696B083}"/>
  </bookViews>
  <sheets>
    <sheet name="เฉลยข้อที่ 2" sheetId="1" r:id="rId1"/>
    <sheet name="การวิเคราะห์ข้อมูลประกอบงบดุล" sheetId="3" r:id="rId2"/>
    <sheet name="งบดุล" sheetId="2" r:id="rId3"/>
    <sheet name="งบรายได้รายจ่าย" sheetId="4" r:id="rId4"/>
    <sheet name="งบกระแสเงินสด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5" l="1"/>
  <c r="D38" i="5"/>
  <c r="B39" i="5"/>
  <c r="D35" i="5"/>
  <c r="C35" i="5"/>
  <c r="B35" i="5"/>
  <c r="B5" i="5"/>
  <c r="C8" i="5"/>
  <c r="C39" i="5" s="1"/>
  <c r="C5" i="4"/>
  <c r="B21" i="2"/>
  <c r="B13" i="2"/>
  <c r="B7" i="2"/>
  <c r="D7" i="2"/>
  <c r="B20" i="2"/>
  <c r="H7" i="1"/>
  <c r="I11" i="1" s="1"/>
  <c r="D9" i="1" s="1"/>
  <c r="B6" i="1"/>
  <c r="B7" i="1" s="1"/>
  <c r="B4" i="1"/>
  <c r="C4" i="1" s="1"/>
  <c r="D4" i="1" s="1"/>
  <c r="F9" i="2"/>
  <c r="C33" i="4"/>
  <c r="C32" i="4"/>
  <c r="C29" i="4"/>
  <c r="C34" i="4" s="1"/>
  <c r="B29" i="4"/>
  <c r="C5" i="3"/>
  <c r="C15" i="4"/>
  <c r="C16" i="4"/>
  <c r="B6" i="4"/>
  <c r="B7" i="4"/>
  <c r="C4" i="4"/>
  <c r="D6" i="2"/>
  <c r="B6" i="5"/>
  <c r="D34" i="5"/>
  <c r="D30" i="5"/>
  <c r="D26" i="5"/>
  <c r="D5" i="4"/>
  <c r="D6" i="4"/>
  <c r="D7" i="4"/>
  <c r="D8" i="4"/>
  <c r="D9" i="4"/>
  <c r="D10" i="4"/>
  <c r="D11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30" i="4"/>
  <c r="D31" i="4"/>
  <c r="D36" i="4"/>
  <c r="D37" i="4"/>
  <c r="D38" i="4"/>
  <c r="D39" i="4"/>
  <c r="D4" i="4"/>
  <c r="C12" i="4"/>
  <c r="B12" i="4"/>
  <c r="B28" i="4"/>
  <c r="B32" i="4"/>
  <c r="B33" i="4" s="1"/>
  <c r="B23" i="4"/>
  <c r="B9" i="2"/>
  <c r="C14" i="4"/>
  <c r="D17" i="2"/>
  <c r="B24" i="2"/>
  <c r="B19" i="2"/>
  <c r="B15" i="2"/>
  <c r="B8" i="2"/>
  <c r="E4" i="3"/>
  <c r="D4" i="3"/>
  <c r="C4" i="3"/>
  <c r="E3" i="3"/>
  <c r="E2" i="3"/>
  <c r="D3" i="3"/>
  <c r="D2" i="3"/>
  <c r="C3" i="3"/>
  <c r="C2" i="3"/>
  <c r="D3" i="1"/>
  <c r="C3" i="1"/>
  <c r="B3" i="1"/>
  <c r="H5" i="1"/>
  <c r="H3" i="1"/>
  <c r="C35" i="4" l="1"/>
  <c r="C41" i="4" s="1"/>
  <c r="E39" i="5"/>
  <c r="D12" i="5"/>
  <c r="B34" i="4"/>
  <c r="D33" i="4"/>
  <c r="D32" i="4"/>
  <c r="C6" i="1"/>
  <c r="C7" i="1" s="1"/>
  <c r="I10" i="1"/>
  <c r="C9" i="1" s="1"/>
  <c r="I9" i="1"/>
  <c r="B9" i="1" s="1"/>
  <c r="B10" i="1" s="1"/>
  <c r="D12" i="4"/>
  <c r="D20" i="2"/>
  <c r="D24" i="2" s="1"/>
  <c r="D39" i="5" l="1"/>
  <c r="B35" i="4"/>
  <c r="D34" i="4"/>
  <c r="D6" i="1"/>
  <c r="D7" i="1" s="1"/>
  <c r="C10" i="1"/>
  <c r="D10" i="1" s="1"/>
  <c r="D29" i="4"/>
  <c r="B41" i="4" l="1"/>
  <c r="D41" i="4" s="1"/>
  <c r="D35" i="4"/>
</calcChain>
</file>

<file path=xl/sharedStrings.xml><?xml version="1.0" encoding="utf-8"?>
<sst xmlns="http://schemas.openxmlformats.org/spreadsheetml/2006/main" count="165" uniqueCount="143">
  <si>
    <t>วิธีการคำนวณและรายการ</t>
  </si>
  <si>
    <t>ปีที่ 1</t>
  </si>
  <si>
    <t>ปีที่ 2</t>
  </si>
  <si>
    <t>ปีที่ 3</t>
  </si>
  <si>
    <t>เส้นตรง</t>
  </si>
  <si>
    <r>
      <t>เส้นตรง</t>
    </r>
    <r>
      <rPr>
        <sz val="16"/>
        <color theme="1"/>
        <rFont val="TH Sarabun New"/>
        <family val="2"/>
      </rPr>
      <t xml:space="preserve"> (Straight line) </t>
    </r>
  </si>
  <si>
    <t>ซื้อมา</t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</si>
  <si>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20"/>
        <color theme="1"/>
        <rFont val="TH Sarabun New"/>
        <family val="2"/>
      </rPr>
      <t>ค่าเสื่อม</t>
    </r>
  </si>
  <si>
    <t>มูลค่าซาก 25%</t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</si>
  <si>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20"/>
        <color theme="1"/>
        <rFont val="TH Sarabun New"/>
        <family val="2"/>
      </rPr>
      <t>มูลค่าทางบัญชี ณ สิ้นปี (มูลค่าคงเหลือปลายปี)</t>
    </r>
  </si>
  <si>
    <t>อายุการใช้งาน</t>
  </si>
  <si>
    <r>
      <t>ดุลลดลง 1 เท่า (</t>
    </r>
    <r>
      <rPr>
        <sz val="16"/>
        <color theme="1"/>
        <rFont val="TH Sarabun New"/>
        <family val="2"/>
      </rPr>
      <t>Declining Balance)</t>
    </r>
  </si>
  <si>
    <t>ค่าเสื่อมต่อปี</t>
  </si>
  <si>
    <t>R ร้อยละ 10 มาจาก 100/10</t>
  </si>
  <si>
    <t>ผลรวมจำนวนปี 1 ถึง 10 เท่ากับ</t>
  </si>
  <si>
    <r>
      <t>ผลรวมจำนวนปี (</t>
    </r>
    <r>
      <rPr>
        <sz val="16"/>
        <color theme="1"/>
        <rFont val="TH Sarabun New"/>
        <family val="2"/>
      </rPr>
      <t>Sum of year digit)</t>
    </r>
  </si>
  <si>
    <t>จำนวปีคงเหลือ</t>
  </si>
  <si>
    <t>อัตราส่วนจำนวนปีคงเหลือหารด้วยผลรวม</t>
  </si>
  <si>
    <t>ค่าเสื่อม</t>
  </si>
  <si>
    <t xml:space="preserve">ค่าเสื่อมสะสม </t>
  </si>
  <si>
    <t>มูลค่าคงเหลือ ณ สิ้นปี 2565</t>
  </si>
  <si>
    <t>1 ค่าเสื่อมคอกไก่</t>
  </si>
  <si>
    <t>2 ค่าเสื่อมเครื่องพ่นยา</t>
  </si>
  <si>
    <t>3 เครื่องสูบน้ำ</t>
  </si>
  <si>
    <t>รายการประเมินสินทรัพย์ และหนี้สิน โดยใช้ราคาตลาด</t>
  </si>
  <si>
    <t>งบดุลของฟาร์มนายเคน ณ วันที่ 31 ธันวาคม 2565</t>
  </si>
  <si>
    <t>สินทรัพย์</t>
  </si>
  <si>
    <t>บาท</t>
  </si>
  <si>
    <t>หนี้สินและส่วนของเจ้าของ</t>
  </si>
  <si>
    <t>สินทรัพย์หมุนเวียน</t>
  </si>
  <si>
    <t>หนี้สินหมุนเวียน</t>
  </si>
  <si>
    <t xml:space="preserve"> เงินสด</t>
  </si>
  <si>
    <t xml:space="preserve"> เจ้าหนี้การค้า</t>
  </si>
  <si>
    <t xml:space="preserve"> หลักทรัพย์</t>
  </si>
  <si>
    <t xml:space="preserve"> ตั๋วเจ้าหนี้</t>
  </si>
  <si>
    <t xml:space="preserve"> สินทรัพย์คงเหลือ</t>
  </si>
  <si>
    <t xml:space="preserve"> เงินกู้ยืมที่่ยังไม่ได้ชำระ</t>
  </si>
  <si>
    <t xml:space="preserve">  พืช</t>
  </si>
  <si>
    <t xml:space="preserve"> ดอกเบี้ยคงค้าง</t>
  </si>
  <si>
    <t xml:space="preserve">  สัตว์</t>
  </si>
  <si>
    <t xml:space="preserve"> ภาษีเงินได้คงค้าง</t>
  </si>
  <si>
    <t xml:space="preserve">  ปัจจัยการผลิต</t>
  </si>
  <si>
    <t xml:space="preserve"> ภาษีเงินได้รอตัดบัญชี</t>
  </si>
  <si>
    <t xml:space="preserve">  ลูกหนี้การค้า</t>
  </si>
  <si>
    <t xml:space="preserve"> รายจ่ายคงค้างอื่น ๆ </t>
  </si>
  <si>
    <t xml:space="preserve">  รายจ่ายล่วงหน้า</t>
  </si>
  <si>
    <t xml:space="preserve"> รวม</t>
  </si>
  <si>
    <t xml:space="preserve">  เงินลงทุนปลูกพืชที่ยังไม่เก็บเกี่ยว</t>
  </si>
  <si>
    <t>หนี้สินไม่หมุนเวียน</t>
  </si>
  <si>
    <t>รวม</t>
  </si>
  <si>
    <t xml:space="preserve"> เครื่องจักร</t>
  </si>
  <si>
    <t>สินทรัพย์ไม่หมุนเวียน</t>
  </si>
  <si>
    <t xml:space="preserve"> พ่อพันธุ์แม่พันธุ์สัตว์</t>
  </si>
  <si>
    <t xml:space="preserve"> เครื่องจักรและเครื่องมือ</t>
  </si>
  <si>
    <t xml:space="preserve"> หนี้สินอสังหาริมทรัพย์</t>
  </si>
  <si>
    <t xml:space="preserve"> พ่อพันธุ์แม่พันธุ์สัตว์ </t>
  </si>
  <si>
    <t xml:space="preserve">   ซื้อมา</t>
  </si>
  <si>
    <t xml:space="preserve">  เลี้ยงเอง</t>
  </si>
  <si>
    <t>หนี้สินทั้งหมด</t>
  </si>
  <si>
    <t>อาคารและสิ่งปลูกสร้าง</t>
  </si>
  <si>
    <t>ส่วนของเจ้าของ</t>
  </si>
  <si>
    <t>ที่ดิน</t>
  </si>
  <si>
    <t xml:space="preserve"> เงินลงทุนของเจ้าของ</t>
  </si>
  <si>
    <r>
      <t xml:space="preserve"> </t>
    </r>
    <r>
      <rPr>
        <sz val="20"/>
        <color theme="1"/>
        <rFont val="TH Sarabun New"/>
        <family val="2"/>
      </rPr>
      <t>รวม</t>
    </r>
  </si>
  <si>
    <t xml:space="preserve"> รายได้ฟาร์มคงเหลือ</t>
  </si>
  <si>
    <t xml:space="preserve"> ∆ ของมูลค่าตลาด</t>
  </si>
  <si>
    <t>สินทรัพย์ทั้งหมด</t>
  </si>
  <si>
    <t>หนี้สินทั้งหมดและส่วนของเจ้าของ</t>
  </si>
  <si>
    <t>กิจการเลี้ยงไก่ ปลูกยาสูบ ประเมินโดยใช้ราคาตลาด ยกเว้นที่ดิน และรายการบางรายการ</t>
  </si>
  <si>
    <t>งบรายได้รายจ่ายตามระบบเกณฑ์คงค้างของฟาร์มนายเคน 1 มกราคม 2565- 31 ธันวาคม 2565</t>
  </si>
  <si>
    <t>รายการ</t>
  </si>
  <si>
    <t xml:space="preserve">ไม่เป็นเงินสด (บาท) </t>
  </si>
  <si>
    <t>เงินสด (บาท)</t>
  </si>
  <si>
    <t>รวม (บาท)</t>
  </si>
  <si>
    <t>รายได้</t>
  </si>
  <si>
    <t xml:space="preserve"> ขายพืชเศรษฐกิจ</t>
  </si>
  <si>
    <t xml:space="preserve"> ขายสัตว์เศรษฐกิจ</t>
  </si>
  <si>
    <r>
      <t xml:space="preserve"> </t>
    </r>
    <r>
      <rPr>
        <b/>
        <sz val="20"/>
        <color theme="1"/>
        <rFont val="TH Sarabun New"/>
        <family val="2"/>
      </rPr>
      <t xml:space="preserve">∆ </t>
    </r>
    <r>
      <rPr>
        <sz val="20"/>
        <color theme="1"/>
        <rFont val="TH Sarabun New"/>
        <family val="2"/>
      </rPr>
      <t>สินทรัพย์คงเหลือพืช</t>
    </r>
  </si>
  <si>
    <t xml:space="preserve"> ∆ สินทรัพย์คงเหลือสัตว์</t>
  </si>
  <si>
    <t xml:space="preserve"> เงินอุดหนุนจากรัฐบาล</t>
  </si>
  <si>
    <t xml:space="preserve"> ∆มูลค่าพ่อพันธุ์แม่พันธุ์สัตว์</t>
  </si>
  <si>
    <t xml:space="preserve"> ผลได้ผลเสียจากการขายพ่อพันธุ์แม่พันธุ์สัตว์</t>
  </si>
  <si>
    <t xml:space="preserve"> ∆ลูกหนี้การค้า</t>
  </si>
  <si>
    <t>รายได้ทั้งหมด (1)</t>
  </si>
  <si>
    <t>รายจ่าย</t>
  </si>
  <si>
    <t>ค่าปุ๋ย</t>
  </si>
  <si>
    <t xml:space="preserve"> ค่าอาหารและเมล็ดพืชสำหรับเลี้ยงสัตว์</t>
  </si>
  <si>
    <t xml:space="preserve"> ค่าลูกไก่</t>
  </si>
  <si>
    <t xml:space="preserve">  น้ำมันเชื้อเพลิง และน้ำมันหล่อลื่น</t>
  </si>
  <si>
    <t xml:space="preserve">   ค่าจ้างแรงงาน</t>
  </si>
  <si>
    <t xml:space="preserve">  ค่าซ่อมแซมและบำรุงรักษา</t>
  </si>
  <si>
    <t xml:space="preserve">  ค่าประกัน</t>
  </si>
  <si>
    <t xml:space="preserve"> ค่าแรงงาน</t>
  </si>
  <si>
    <t>การปรับค่า</t>
  </si>
  <si>
    <t>เจ้าหนี้การค้าต้นปีต้องนำมาหักออกและปลายปีต้องนำมาบวก</t>
  </si>
  <si>
    <t xml:space="preserve"> รายจ่ายล่วงหน้า</t>
  </si>
  <si>
    <t>แต่รายจ่ายล่วงหน้าต้นปีต้องนำมาบวกเนื่องจากนำมาใช้งบที่ผ่านมา และปลายปีต้องหักออกเนื่องจากไม่ได้นำมาใช้จนกว่าจะงบหน้า</t>
  </si>
  <si>
    <t xml:space="preserve"> รายจ่ายค้างจ่าย</t>
  </si>
  <si>
    <t xml:space="preserve"> ค่าเสื่อมราคา</t>
  </si>
  <si>
    <t>รวมรายจ่ายการผลิตไม่รวมดอกเบี้ย</t>
  </si>
  <si>
    <t>ดอกเบี้ย</t>
  </si>
  <si>
    <t xml:space="preserve"> ชำระเงินสด</t>
  </si>
  <si>
    <t xml:space="preserve"> ∆ ของดอกเบี้ยค้างจ่าย</t>
  </si>
  <si>
    <t>รวมรายจ่ายการดำเนินงานทั้งหมด (2)</t>
  </si>
  <si>
    <t>รายได้ฟาร์มสุทธิจากการดำเนินงาน (1-2) = (3)</t>
  </si>
  <si>
    <t>ผลได้/ผลเสียเมื่อขายสินทรัพย์ทุน</t>
  </si>
  <si>
    <t xml:space="preserve">  ที่ดิน</t>
  </si>
  <si>
    <t xml:space="preserve">  เครื่องจ้กร เครื่องมือ อุปกรณ์การเกษตร</t>
  </si>
  <si>
    <t xml:space="preserve">  อาคาร สิ่งปลูกสร้าง</t>
  </si>
  <si>
    <t>รวม (4)</t>
  </si>
  <si>
    <t>รายได้ฟาร์มสุทธิ (3+4)</t>
  </si>
  <si>
    <t>งบกระแสเงินสดของฟาร์มนายอิสระ 1 มกราคม 2565- 31 ธันวาคม 2565</t>
  </si>
  <si>
    <t>กระแสดเงินสด</t>
  </si>
  <si>
    <t>เงินสดไหลเข้า</t>
  </si>
  <si>
    <t>เงินสดไหลออก</t>
  </si>
  <si>
    <t>สุทธิ</t>
  </si>
  <si>
    <t>รายได้และรายจ่ายฟาร์มเงินสดจากการผลิต</t>
  </si>
  <si>
    <t xml:space="preserve"> ขายพืชและสัตว์เศรษฐกิจ</t>
  </si>
  <si>
    <t xml:space="preserve"> อื่นๆ (เงินช่วยเหลือจากรัฐบาล)</t>
  </si>
  <si>
    <t xml:space="preserve"> ค่าสัตว์ อาหารสัตว์ และอื่นๆ</t>
  </si>
  <si>
    <t xml:space="preserve"> รายจ่ายดำเนินงาน</t>
  </si>
  <si>
    <t xml:space="preserve"> ค่าดอกเบี้ย</t>
  </si>
  <si>
    <t xml:space="preserve"> ภาษีเงินได้และภาษีสวัสดิการสังคม</t>
  </si>
  <si>
    <t>เงินสดสุทธิจากกิจกรรมการผลิต</t>
  </si>
  <si>
    <t>สินทรัพย์ทุน (จากการลงทุน)</t>
  </si>
  <si>
    <t xml:space="preserve">  ขาย</t>
  </si>
  <si>
    <t xml:space="preserve">  ซื้อ</t>
  </si>
  <si>
    <t>เครื่องมือเครื่องจักร และอุปกรณ์การเกษตร</t>
  </si>
  <si>
    <t>อสังหาริมทรัพย์</t>
  </si>
  <si>
    <t>หลักทรัพย์ที่ซื้อขายในตลาด</t>
  </si>
  <si>
    <t>เงินสดสุทธิจากกิจกรรมการลงทุน</t>
  </si>
  <si>
    <t>สินเชื่อ (จากการเงิน)</t>
  </si>
  <si>
    <t xml:space="preserve"> ได้รับสินเชื่อใหม่</t>
  </si>
  <si>
    <t xml:space="preserve"> ชำระคืนเงินต้น</t>
  </si>
  <si>
    <t xml:space="preserve">  เงินสดสุทธิจากกิจกรรมทางการเงิน</t>
  </si>
  <si>
    <t>กิจกรรมนอกฟาร์ม</t>
  </si>
  <si>
    <t xml:space="preserve"> รายได้นอกฟาร์ม (ค่าจ้าง ค่าเช่า ดอกเบี้ย และอื่นๆ)</t>
  </si>
  <si>
    <t xml:space="preserve"> รายจ่ายนอกฟาร์ม (ค่าครองชีพครัวเรือน ภาษีเงินได้ และอื่นๆ)</t>
  </si>
  <si>
    <t xml:space="preserve">  เงินสดสุทธิจากกิจกรรมนอกฟาร์ม</t>
  </si>
  <si>
    <t>เงินสดทีเหลือ (ส่วนสมดุล)</t>
  </si>
  <si>
    <t xml:space="preserve">  ตอนต้นปี</t>
  </si>
  <si>
    <t xml:space="preserve">  ตอนปลายปี</t>
  </si>
  <si>
    <t>รวมกระแสดเงินสดสุทธิ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</si>
</sst>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20"/>
      <color theme="1"/>
      <name val="TH Sarabun New"/>
      <family val="2"/>
    </font>
    <font>
      <sz val="16"/>
      <color theme="1"/>
      <name val="TH Sarabun New"/>
      <family val="2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20"/>
      <color theme="1"/>
      <name val="TH Sarabun New"/>
      <family val="2"/>
    </font>
    <font>
      <sz val="20"/>
      <color rgb="FFFF0000"/>
      <name val="TH Sarabun New"/>
      <family val="2"/>
    </font>
    <font>
      <b/>
      <u/>
      <sz val="20"/>
      <color theme="1"/>
      <name val="TH Sarabun New"/>
      <family val="2"/>
    </font>
    <font>
      <b/>
      <u val="singleAccounting"/>
      <sz val="20"/>
      <color theme="1"/>
      <name val="TH Sarabun New"/>
      <family val="2"/>
    </font>
    <font>
      <u/>
      <sz val="20"/>
      <color theme="1"/>
      <name val="TH Sarabun New"/>
      <family val="2"/>
    </font>
    <font>
      <b/>
      <sz val="20"/>
      <color rgb="FFFF0000"/>
      <name val="TH Sarabun New"/>
      <family val="2"/>
    </font>
    <font>
      <sz val="20"/>
      <color theme="4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 indent="4"/>
    </xf>
    <xf numFmtId="43" fontId="0" fillId="0" borderId="0" xfId="1" applyFont="1"/>
    <xf numFmtId="0" fontId="5" fillId="0" borderId="0" xfId="0" applyFont="1"/>
    <xf numFmtId="43" fontId="0" fillId="0" borderId="0" xfId="0" applyNumberFormat="1"/>
    <xf numFmtId="43" fontId="3" fillId="0" borderId="4" xfId="0" applyNumberFormat="1" applyFont="1" applyBorder="1" applyAlignment="1">
      <alignment vertical="center" wrapText="1"/>
    </xf>
    <xf numFmtId="43" fontId="3" fillId="0" borderId="4" xfId="1" applyFont="1" applyBorder="1" applyAlignment="1">
      <alignment vertical="center" wrapText="1"/>
    </xf>
    <xf numFmtId="0" fontId="3" fillId="0" borderId="0" xfId="0" applyFont="1"/>
    <xf numFmtId="43" fontId="3" fillId="0" borderId="0" xfId="1" applyFont="1"/>
    <xf numFmtId="0" fontId="6" fillId="0" borderId="5" xfId="0" applyFont="1" applyBorder="1" applyAlignment="1">
      <alignment horizontal="center"/>
    </xf>
    <xf numFmtId="43" fontId="6" fillId="0" borderId="6" xfId="1" applyFont="1" applyBorder="1"/>
    <xf numFmtId="0" fontId="6" fillId="0" borderId="0" xfId="0" applyFont="1"/>
    <xf numFmtId="43" fontId="2" fillId="0" borderId="8" xfId="1" applyFont="1" applyBorder="1"/>
    <xf numFmtId="0" fontId="6" fillId="0" borderId="5" xfId="0" applyFont="1" applyBorder="1"/>
    <xf numFmtId="43" fontId="2" fillId="0" borderId="8" xfId="1" applyFont="1" applyFill="1" applyBorder="1"/>
    <xf numFmtId="43" fontId="7" fillId="0" borderId="8" xfId="1" applyFont="1" applyFill="1" applyBorder="1"/>
    <xf numFmtId="43" fontId="6" fillId="0" borderId="6" xfId="1" applyFont="1" applyFill="1" applyBorder="1"/>
    <xf numFmtId="43" fontId="9" fillId="0" borderId="8" xfId="1" applyFont="1" applyFill="1" applyBorder="1"/>
    <xf numFmtId="43" fontId="6" fillId="0" borderId="8" xfId="1" applyFont="1" applyFill="1" applyBorder="1"/>
    <xf numFmtId="43" fontId="8" fillId="0" borderId="8" xfId="1" applyFont="1" applyFill="1" applyBorder="1"/>
    <xf numFmtId="43" fontId="6" fillId="0" borderId="0" xfId="1" applyFont="1" applyFill="1" applyAlignment="1"/>
    <xf numFmtId="0" fontId="2" fillId="0" borderId="5" xfId="0" applyFont="1" applyBorder="1" applyAlignment="1">
      <alignment horizontal="center"/>
    </xf>
    <xf numFmtId="43" fontId="2" fillId="0" borderId="6" xfId="1" applyFont="1" applyFill="1" applyBorder="1"/>
    <xf numFmtId="43" fontId="2" fillId="0" borderId="7" xfId="1" applyFont="1" applyFill="1" applyBorder="1"/>
    <xf numFmtId="0" fontId="6" fillId="0" borderId="10" xfId="0" applyFont="1" applyBorder="1"/>
    <xf numFmtId="43" fontId="2" fillId="0" borderId="9" xfId="1" applyFont="1" applyFill="1" applyBorder="1"/>
    <xf numFmtId="0" fontId="2" fillId="0" borderId="10" xfId="0" applyFont="1" applyBorder="1"/>
    <xf numFmtId="43" fontId="2" fillId="0" borderId="0" xfId="0" applyNumberFormat="1" applyFont="1"/>
    <xf numFmtId="0" fontId="7" fillId="0" borderId="0" xfId="0" applyFont="1"/>
    <xf numFmtId="0" fontId="8" fillId="0" borderId="10" xfId="0" applyFont="1" applyBorder="1"/>
    <xf numFmtId="0" fontId="2" fillId="0" borderId="8" xfId="0" applyFont="1" applyBorder="1"/>
    <xf numFmtId="43" fontId="6" fillId="0" borderId="9" xfId="1" applyFont="1" applyFill="1" applyBorder="1"/>
    <xf numFmtId="0" fontId="8" fillId="0" borderId="11" xfId="0" applyFont="1" applyBorder="1"/>
    <xf numFmtId="43" fontId="2" fillId="0" borderId="0" xfId="1" applyFont="1" applyFill="1"/>
    <xf numFmtId="43" fontId="9" fillId="0" borderId="9" xfId="1" applyFont="1" applyFill="1" applyBorder="1"/>
    <xf numFmtId="43" fontId="8" fillId="0" borderId="8" xfId="0" applyNumberFormat="1" applyFont="1" applyBorder="1"/>
    <xf numFmtId="43" fontId="8" fillId="0" borderId="9" xfId="1" applyFont="1" applyFill="1" applyBorder="1"/>
    <xf numFmtId="43" fontId="9" fillId="0" borderId="12" xfId="1" applyFont="1" applyFill="1" applyBorder="1"/>
    <xf numFmtId="0" fontId="2" fillId="0" borderId="0" xfId="0" applyFont="1" applyAlignment="1">
      <alignment horizontal="center"/>
    </xf>
    <xf numFmtId="164" fontId="2" fillId="0" borderId="0" xfId="0" applyNumberFormat="1" applyFont="1"/>
    <xf numFmtId="43" fontId="6" fillId="0" borderId="0" xfId="1" applyFont="1" applyFill="1"/>
    <xf numFmtId="0" fontId="10" fillId="0" borderId="0" xfId="0" applyFont="1"/>
    <xf numFmtId="43" fontId="10" fillId="0" borderId="0" xfId="1" applyFont="1" applyFill="1"/>
    <xf numFmtId="43" fontId="9" fillId="0" borderId="0" xfId="1" applyFont="1" applyFill="1"/>
    <xf numFmtId="0" fontId="8" fillId="0" borderId="0" xfId="0" applyFont="1"/>
    <xf numFmtId="43" fontId="11" fillId="0" borderId="0" xfId="1" applyFont="1" applyFill="1"/>
    <xf numFmtId="43" fontId="12" fillId="0" borderId="8" xfId="1" applyFont="1" applyFill="1" applyBorder="1"/>
    <xf numFmtId="43" fontId="12" fillId="0" borderId="9" xfId="1" applyFont="1" applyFill="1" applyBorder="1"/>
    <xf numFmtId="43" fontId="2" fillId="2" borderId="0" xfId="0" applyNumberFormat="1" applyFont="1" applyFill="1"/>
    <xf numFmtId="43" fontId="12" fillId="2" borderId="8" xfId="1" applyFont="1" applyFill="1" applyBorder="1"/>
    <xf numFmtId="2" fontId="3" fillId="0" borderId="4" xfId="0" applyNumberFormat="1" applyFont="1" applyBorder="1" applyAlignment="1">
      <alignment vertical="center" wrapText="1"/>
    </xf>
    <xf numFmtId="0" fontId="7" fillId="0" borderId="10" xfId="0" applyFont="1" applyBorder="1"/>
    <xf numFmtId="0" fontId="6" fillId="0" borderId="0" xfId="0" applyFont="1" applyAlignment="1">
      <alignment horizontal="center"/>
    </xf>
    <xf numFmtId="43" fontId="6" fillId="0" borderId="0" xfId="1" applyFont="1" applyFill="1" applyAlignment="1">
      <alignment horizontal="center"/>
    </xf>
    <xf numFmtId="164" fontId="2" fillId="2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F0486-DF7D-4B34-A478-E1E27034E92C}">
  <dimension ref="A1:I11"/>
  <sheetViews>
    <sheetView workbookViewId="0">
      <selection activeCell="G12" sqref="G12"/>
    </sheetView>
  </sheetViews>
  <sheetFormatPr defaultRowHeight="14.5"/>
  <cols>
    <col min="1" max="1" width="39.81640625" customWidth="1"/>
    <col min="2" max="2" width="20.54296875" customWidth="1"/>
    <col min="3" max="3" width="18.81640625" customWidth="1"/>
    <col min="4" max="4" width="16.26953125" customWidth="1"/>
    <col min="7" max="7" width="32.7265625" customWidth="1"/>
    <col min="8" max="8" width="25.26953125" customWidth="1"/>
  </cols>
  <sheetData>
    <row r="1" spans="1:9" ht="30.5" thickBot="1">
      <c r="A1" s="1" t="s">
        <v>0</v>
      </c>
      <c r="B1" s="2" t="s">
        <v>1</v>
      </c>
      <c r="C1" s="2" t="s">
        <v>2</v>
      </c>
      <c r="D1" s="2" t="s">
        <v>3</v>
      </c>
      <c r="F1" s="8"/>
      <c r="G1" s="8" t="s">
        <v>4</v>
      </c>
    </row>
    <row r="2" spans="1:9" ht="30.5" thickBot="1">
      <c r="A2" s="4" t="s">
        <v>5</v>
      </c>
      <c r="B2" s="5"/>
      <c r="C2" s="5"/>
      <c r="D2" s="5"/>
      <c r="F2" s="8"/>
      <c r="G2" t="s">
        <v>6</v>
      </c>
      <c r="H2" s="7">
        <v>2000000</v>
      </c>
    </row>
    <row r="3" spans="1:9" ht="30.5" thickBot="1">
      <c r="A3" s="6" t="s">
        <v>7</v>
      </c>
      <c r="B3" s="10">
        <f>+H5</f>
        <v>150000</v>
      </c>
      <c r="C3" s="10">
        <f>+H5</f>
        <v>150000</v>
      </c>
      <c r="D3" s="10">
        <f>+H5</f>
        <v>150000</v>
      </c>
      <c r="G3" t="s">
        <v>8</v>
      </c>
      <c r="H3" s="9">
        <f>0.25*H2</f>
        <v>500000</v>
      </c>
    </row>
    <row r="4" spans="1:9" ht="60.5" thickBot="1">
      <c r="A4" s="6" t="s">
        <v>9</v>
      </c>
      <c r="B4" s="10">
        <f>2000000-B3</f>
        <v>1850000</v>
      </c>
      <c r="C4" s="10">
        <f>+B4-C3</f>
        <v>1700000</v>
      </c>
      <c r="D4" s="10">
        <f>+C4-D3</f>
        <v>1550000</v>
      </c>
      <c r="G4" t="s">
        <v>10</v>
      </c>
      <c r="H4">
        <v>10</v>
      </c>
    </row>
    <row r="5" spans="1:9" ht="30.5" thickBot="1">
      <c r="A5" s="4" t="s">
        <v>11</v>
      </c>
      <c r="B5" s="5"/>
      <c r="C5" s="5"/>
      <c r="D5" s="5"/>
      <c r="G5" t="s">
        <v>12</v>
      </c>
      <c r="H5" s="9">
        <f>+(H2-H3)/H4</f>
        <v>150000</v>
      </c>
    </row>
    <row r="6" spans="1:9" ht="30.5" thickBot="1">
      <c r="A6" s="6" t="s">
        <v>7</v>
      </c>
      <c r="B6" s="11">
        <f>2000000*0.1</f>
        <v>200000</v>
      </c>
      <c r="C6" s="11">
        <f>+B7*0.1</f>
        <v>180000</v>
      </c>
      <c r="D6" s="55">
        <f>+C7*0.1</f>
        <v>162000</v>
      </c>
      <c r="G6" t="s">
        <v>13</v>
      </c>
      <c r="H6">
        <v>0.1</v>
      </c>
    </row>
    <row r="7" spans="1:9" ht="60.5" thickBot="1">
      <c r="A7" s="6" t="s">
        <v>9</v>
      </c>
      <c r="B7" s="10">
        <f>2000000-B6</f>
        <v>1800000</v>
      </c>
      <c r="C7" s="10">
        <f>+B7-C6</f>
        <v>1620000</v>
      </c>
      <c r="D7" s="10">
        <f>+C7-D6</f>
        <v>1458000</v>
      </c>
      <c r="G7" t="s">
        <v>14</v>
      </c>
      <c r="H7" s="9">
        <f>1+2+3+4+5+6+7+8+9+10</f>
        <v>55</v>
      </c>
    </row>
    <row r="8" spans="1:9" ht="30.5" thickBot="1">
      <c r="A8" s="4" t="s">
        <v>15</v>
      </c>
      <c r="B8" s="5"/>
      <c r="C8" s="5"/>
      <c r="D8" s="5"/>
      <c r="G8" t="s">
        <v>16</v>
      </c>
      <c r="I8" t="s">
        <v>17</v>
      </c>
    </row>
    <row r="9" spans="1:9" ht="30.5" thickBot="1">
      <c r="A9" s="6" t="s">
        <v>7</v>
      </c>
      <c r="B9" s="10">
        <f>1500000*I9</f>
        <v>272727.27272727271</v>
      </c>
      <c r="C9" s="10">
        <f>1500000*I10</f>
        <v>245454.54545454544</v>
      </c>
      <c r="D9" s="10">
        <f>1500000*I11</f>
        <v>218181.81818181818</v>
      </c>
      <c r="G9">
        <v>1</v>
      </c>
      <c r="H9" s="9">
        <v>10</v>
      </c>
      <c r="I9" s="9">
        <f>+H9/H7</f>
        <v>0.18181818181818182</v>
      </c>
    </row>
    <row r="10" spans="1:9" ht="60.5" thickBot="1">
      <c r="A10" s="6" t="s">
        <v>9</v>
      </c>
      <c r="B10" s="10">
        <f>2000000-B9</f>
        <v>1727272.7272727273</v>
      </c>
      <c r="C10" s="10">
        <f>+B10-C9</f>
        <v>1481818.1818181819</v>
      </c>
      <c r="D10" s="10">
        <f>+C10-D9</f>
        <v>1263636.3636363638</v>
      </c>
      <c r="G10">
        <v>2</v>
      </c>
      <c r="H10">
        <v>9</v>
      </c>
      <c r="I10" s="9">
        <f>+H10/H7</f>
        <v>0.16363636363636364</v>
      </c>
    </row>
    <row r="11" spans="1:9">
      <c r="G11">
        <v>3</v>
      </c>
      <c r="H11" s="9">
        <v>8</v>
      </c>
      <c r="I11" s="9">
        <f>+H11/H7</f>
        <v>0.14545454545454545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2B731-02AA-4B63-AD1F-C3934E393269}">
  <dimension ref="A1:E7"/>
  <sheetViews>
    <sheetView workbookViewId="0">
      <selection activeCell="C5" sqref="C5"/>
    </sheetView>
  </sheetViews>
  <sheetFormatPr defaultColWidth="9.1796875" defaultRowHeight="24"/>
  <cols>
    <col min="1" max="1" width="16.54296875" style="12" customWidth="1"/>
    <col min="2" max="2" width="9.1796875" style="12"/>
    <col min="3" max="3" width="16.7265625" style="13" customWidth="1"/>
    <col min="4" max="4" width="17.7265625" style="13" customWidth="1"/>
    <col min="5" max="5" width="20.453125" style="13" customWidth="1"/>
    <col min="6" max="16384" width="9.1796875" style="12"/>
  </cols>
  <sheetData>
    <row r="1" spans="1:5">
      <c r="C1" s="13" t="s">
        <v>18</v>
      </c>
      <c r="D1" s="13" t="s">
        <v>19</v>
      </c>
      <c r="E1" s="13" t="s">
        <v>20</v>
      </c>
    </row>
    <row r="2" spans="1:5">
      <c r="A2" s="12" t="s">
        <v>21</v>
      </c>
      <c r="C2" s="13">
        <f>+(5500-0)/10</f>
        <v>550</v>
      </c>
      <c r="D2" s="13">
        <f>7*C2</f>
        <v>3850</v>
      </c>
      <c r="E2" s="13">
        <f>5500-D2</f>
        <v>1650</v>
      </c>
    </row>
    <row r="3" spans="1:5">
      <c r="A3" s="12" t="s">
        <v>22</v>
      </c>
      <c r="C3" s="13">
        <f>+(18000-0)/10</f>
        <v>1800</v>
      </c>
      <c r="D3" s="13">
        <f>5*C3</f>
        <v>9000</v>
      </c>
      <c r="E3" s="13">
        <f>18000-D3</f>
        <v>9000</v>
      </c>
    </row>
    <row r="4" spans="1:5">
      <c r="A4" s="12" t="s">
        <v>23</v>
      </c>
      <c r="C4" s="13">
        <f>+(2500-500)/10</f>
        <v>200</v>
      </c>
      <c r="D4" s="13">
        <f>+C4*5</f>
        <v>1000</v>
      </c>
      <c r="E4" s="13">
        <f>2500-D4</f>
        <v>1500</v>
      </c>
    </row>
    <row r="5" spans="1:5">
      <c r="C5" s="13">
        <f>+C4+C3+C2</f>
        <v>2550</v>
      </c>
    </row>
    <row r="7" spans="1:5">
      <c r="A7" s="12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33F48-2CFB-4299-8E27-07249BC57992}">
  <dimension ref="A1:F26"/>
  <sheetViews>
    <sheetView workbookViewId="0">
      <selection activeCell="B4" sqref="B4"/>
    </sheetView>
  </sheetViews>
  <sheetFormatPr defaultRowHeight="14.5"/>
  <cols>
    <col min="1" max="1" width="35.54296875" customWidth="1"/>
    <col min="2" max="2" width="23.54296875" customWidth="1"/>
    <col min="3" max="3" width="52.453125" customWidth="1"/>
    <col min="4" max="4" width="21.7265625" customWidth="1"/>
    <col min="6" max="6" width="10.54296875" bestFit="1" customWidth="1"/>
  </cols>
  <sheetData>
    <row r="1" spans="1:6" ht="30">
      <c r="A1" s="57" t="s">
        <v>25</v>
      </c>
      <c r="B1" s="57"/>
      <c r="C1" s="57"/>
      <c r="D1" s="57"/>
      <c r="E1" s="57"/>
    </row>
    <row r="2" spans="1:6" ht="30">
      <c r="A2" s="14" t="s">
        <v>26</v>
      </c>
      <c r="B2" s="15" t="s">
        <v>27</v>
      </c>
      <c r="C2" s="15" t="s">
        <v>28</v>
      </c>
      <c r="D2" s="15" t="s">
        <v>27</v>
      </c>
      <c r="E2" s="16"/>
    </row>
    <row r="3" spans="1:6" ht="30">
      <c r="A3" s="16" t="s">
        <v>29</v>
      </c>
      <c r="B3" s="17"/>
      <c r="C3" s="19" t="s">
        <v>30</v>
      </c>
      <c r="D3" s="17"/>
      <c r="E3" s="3"/>
    </row>
    <row r="4" spans="1:6" ht="30">
      <c r="A4" s="3" t="s">
        <v>31</v>
      </c>
      <c r="B4" s="54">
        <v>10000</v>
      </c>
      <c r="C4" s="19" t="s">
        <v>32</v>
      </c>
      <c r="D4" s="19"/>
      <c r="E4" s="3"/>
    </row>
    <row r="5" spans="1:6" ht="30">
      <c r="A5" s="3" t="s">
        <v>33</v>
      </c>
      <c r="B5" s="20">
        <v>0</v>
      </c>
      <c r="C5" s="19" t="s">
        <v>34</v>
      </c>
      <c r="D5" s="19"/>
      <c r="E5" s="3"/>
    </row>
    <row r="6" spans="1:6" ht="30">
      <c r="A6" s="3" t="s">
        <v>35</v>
      </c>
      <c r="B6" s="19"/>
      <c r="C6" s="19" t="s">
        <v>36</v>
      </c>
      <c r="D6" s="19">
        <f>500000+20000</f>
        <v>520000</v>
      </c>
      <c r="E6" s="3"/>
    </row>
    <row r="7" spans="1:6" ht="30">
      <c r="A7" s="3" t="s">
        <v>37</v>
      </c>
      <c r="B7" s="51">
        <f>(35*10*10.5)+(20*1000)</f>
        <v>23675</v>
      </c>
      <c r="C7" s="19" t="s">
        <v>38</v>
      </c>
      <c r="D7" s="19">
        <f>+(500000*0.1)+(20000*0.06)</f>
        <v>51200</v>
      </c>
      <c r="E7" s="3"/>
    </row>
    <row r="8" spans="1:6" ht="30">
      <c r="A8" s="3" t="s">
        <v>39</v>
      </c>
      <c r="B8" s="51">
        <f>15*100</f>
        <v>1500</v>
      </c>
      <c r="C8" s="19" t="s">
        <v>40</v>
      </c>
      <c r="D8" s="19"/>
      <c r="E8" s="3"/>
    </row>
    <row r="9" spans="1:6" ht="30">
      <c r="A9" s="3" t="s">
        <v>41</v>
      </c>
      <c r="B9" s="51">
        <f>(4*3500)</f>
        <v>14000</v>
      </c>
      <c r="C9" s="20" t="s">
        <v>42</v>
      </c>
      <c r="D9" s="20"/>
      <c r="E9" s="3"/>
      <c r="F9" s="9">
        <f>+B7+B12</f>
        <v>73675</v>
      </c>
    </row>
    <row r="10" spans="1:6" ht="30">
      <c r="A10" s="3" t="s">
        <v>43</v>
      </c>
      <c r="B10" s="51">
        <v>10000</v>
      </c>
      <c r="C10" s="19" t="s">
        <v>44</v>
      </c>
      <c r="D10" s="19"/>
      <c r="E10" s="3"/>
    </row>
    <row r="11" spans="1:6" ht="30">
      <c r="A11" s="3" t="s">
        <v>45</v>
      </c>
      <c r="B11" s="19"/>
      <c r="C11" s="19" t="s">
        <v>46</v>
      </c>
      <c r="D11" s="19"/>
      <c r="E11" s="3"/>
    </row>
    <row r="12" spans="1:6" ht="30">
      <c r="A12" s="3" t="s">
        <v>47</v>
      </c>
      <c r="B12" s="51">
        <v>50000</v>
      </c>
      <c r="C12" s="23" t="s">
        <v>48</v>
      </c>
      <c r="D12" s="19"/>
      <c r="E12" s="3"/>
    </row>
    <row r="13" spans="1:6" ht="30">
      <c r="A13" s="3" t="s">
        <v>49</v>
      </c>
      <c r="B13" s="19">
        <f>+B4+B7+B8+B9+B10+B12</f>
        <v>109175</v>
      </c>
      <c r="C13" s="19" t="s">
        <v>50</v>
      </c>
      <c r="D13" s="19"/>
      <c r="E13" s="3"/>
    </row>
    <row r="14" spans="1:6" ht="30">
      <c r="A14" s="16" t="s">
        <v>51</v>
      </c>
      <c r="B14" s="19"/>
      <c r="C14" s="19" t="s">
        <v>52</v>
      </c>
      <c r="D14" s="19"/>
      <c r="E14" s="3"/>
    </row>
    <row r="15" spans="1:6" ht="30">
      <c r="A15" s="3" t="s">
        <v>53</v>
      </c>
      <c r="B15" s="20">
        <f>+การวิเคราะห์ข้อมูลประกอบงบดุล!E4+การวิเคราะห์ข้อมูลประกอบงบดุล!E3</f>
        <v>10500</v>
      </c>
      <c r="C15" s="19" t="s">
        <v>54</v>
      </c>
      <c r="D15" s="19"/>
      <c r="E15" s="3"/>
    </row>
    <row r="16" spans="1:6" ht="30">
      <c r="A16" s="3" t="s">
        <v>55</v>
      </c>
      <c r="B16" s="19"/>
      <c r="C16" s="20" t="s">
        <v>42</v>
      </c>
      <c r="D16" s="20"/>
      <c r="E16" s="3"/>
    </row>
    <row r="17" spans="1:5" ht="30">
      <c r="A17" s="3" t="s">
        <v>56</v>
      </c>
      <c r="B17" s="20"/>
      <c r="C17" s="19" t="s">
        <v>46</v>
      </c>
      <c r="D17" s="19">
        <f>+SUM(D3:D16)</f>
        <v>571200</v>
      </c>
      <c r="E17" s="3"/>
    </row>
    <row r="18" spans="1:5" ht="31.5">
      <c r="A18" s="3" t="s">
        <v>57</v>
      </c>
      <c r="B18" s="20"/>
      <c r="C18" s="24" t="s">
        <v>58</v>
      </c>
      <c r="D18" s="22"/>
      <c r="E18" s="3"/>
    </row>
    <row r="19" spans="1:5" ht="30">
      <c r="A19" s="3" t="s">
        <v>59</v>
      </c>
      <c r="B19" s="19">
        <f>+การวิเคราะห์ข้อมูลประกอบงบดุล!E2</f>
        <v>1650</v>
      </c>
      <c r="C19" s="24" t="s">
        <v>60</v>
      </c>
      <c r="D19" s="19"/>
      <c r="E19" s="3"/>
    </row>
    <row r="20" spans="1:5" ht="30">
      <c r="A20" s="3" t="s">
        <v>61</v>
      </c>
      <c r="B20" s="20">
        <f>(100000*5)+500000</f>
        <v>1000000</v>
      </c>
      <c r="C20" s="19" t="s">
        <v>62</v>
      </c>
      <c r="D20" s="19">
        <f>+B24-D17</f>
        <v>1671450</v>
      </c>
      <c r="E20" s="3"/>
    </row>
    <row r="21" spans="1:5" ht="30">
      <c r="A21" s="16" t="s">
        <v>63</v>
      </c>
      <c r="B21" s="19">
        <f>+B20+B19+B15</f>
        <v>1012150</v>
      </c>
      <c r="C21" s="19" t="s">
        <v>64</v>
      </c>
      <c r="D21" s="19">
        <v>0</v>
      </c>
      <c r="E21" s="3"/>
    </row>
    <row r="22" spans="1:5" ht="30">
      <c r="A22" s="3"/>
      <c r="B22" s="19"/>
      <c r="C22" s="20" t="s">
        <v>65</v>
      </c>
      <c r="D22" s="19">
        <v>0</v>
      </c>
      <c r="E22" s="3"/>
    </row>
    <row r="23" spans="1:5" ht="30">
      <c r="A23" s="3"/>
      <c r="B23" s="19"/>
      <c r="C23" s="19" t="s">
        <v>46</v>
      </c>
      <c r="D23" s="19"/>
      <c r="E23" s="3"/>
    </row>
    <row r="24" spans="1:5" ht="30">
      <c r="A24" s="18" t="s">
        <v>66</v>
      </c>
      <c r="B24" s="21">
        <f>+SUM(B3:B23)</f>
        <v>2242650</v>
      </c>
      <c r="C24" s="15" t="s">
        <v>67</v>
      </c>
      <c r="D24" s="21">
        <f>+D20+D17</f>
        <v>2242650</v>
      </c>
      <c r="E24" s="3"/>
    </row>
    <row r="26" spans="1:5">
      <c r="A26" t="s">
        <v>68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4C452-F22C-46EE-8661-2D0042293D64}">
  <dimension ref="A1:H41"/>
  <sheetViews>
    <sheetView workbookViewId="0">
      <selection activeCell="B6" sqref="B6"/>
    </sheetView>
  </sheetViews>
  <sheetFormatPr defaultColWidth="9" defaultRowHeight="30"/>
  <cols>
    <col min="1" max="1" width="64" style="3" customWidth="1"/>
    <col min="2" max="2" width="22.26953125" style="38" customWidth="1"/>
    <col min="3" max="3" width="21" style="38" customWidth="1"/>
    <col min="4" max="4" width="24.1796875" style="38" customWidth="1"/>
    <col min="5" max="5" width="13.7265625" style="3" bestFit="1" customWidth="1"/>
    <col min="6" max="16384" width="9" style="3"/>
  </cols>
  <sheetData>
    <row r="1" spans="1:8">
      <c r="A1" s="16" t="s">
        <v>69</v>
      </c>
      <c r="B1" s="25"/>
      <c r="C1" s="25"/>
      <c r="D1" s="25"/>
      <c r="E1" s="16"/>
      <c r="F1" s="16"/>
      <c r="G1" s="16"/>
      <c r="H1" s="16"/>
    </row>
    <row r="2" spans="1:8">
      <c r="A2" s="26" t="s">
        <v>70</v>
      </c>
      <c r="B2" s="27" t="s">
        <v>71</v>
      </c>
      <c r="C2" s="27" t="s">
        <v>72</v>
      </c>
      <c r="D2" s="28" t="s">
        <v>73</v>
      </c>
    </row>
    <row r="3" spans="1:8">
      <c r="A3" s="29" t="s">
        <v>74</v>
      </c>
      <c r="B3" s="19"/>
      <c r="C3" s="19"/>
      <c r="D3" s="30"/>
    </row>
    <row r="4" spans="1:8">
      <c r="A4" s="31" t="s">
        <v>75</v>
      </c>
      <c r="B4" s="19"/>
      <c r="C4" s="51">
        <f>+(10.5*5*35)</f>
        <v>1837.5</v>
      </c>
      <c r="D4" s="30">
        <f>+B4+C4</f>
        <v>1837.5</v>
      </c>
    </row>
    <row r="5" spans="1:8">
      <c r="A5" s="31" t="s">
        <v>76</v>
      </c>
      <c r="B5" s="19"/>
      <c r="C5" s="51">
        <f>985*100</f>
        <v>98500</v>
      </c>
      <c r="D5" s="30">
        <f t="shared" ref="D5:D39" si="0">+B5+C5</f>
        <v>98500</v>
      </c>
      <c r="E5" s="32"/>
    </row>
    <row r="6" spans="1:8">
      <c r="A6" s="31" t="s">
        <v>77</v>
      </c>
      <c r="B6" s="51">
        <f>+(10*35*10.5)+50000+(20*1000)</f>
        <v>73675</v>
      </c>
      <c r="C6" s="19"/>
      <c r="D6" s="30">
        <f t="shared" si="0"/>
        <v>73675</v>
      </c>
      <c r="E6" s="33"/>
    </row>
    <row r="7" spans="1:8">
      <c r="A7" s="31" t="s">
        <v>78</v>
      </c>
      <c r="B7" s="51">
        <f>15*100</f>
        <v>1500</v>
      </c>
      <c r="C7" s="19"/>
      <c r="D7" s="30">
        <f t="shared" si="0"/>
        <v>1500</v>
      </c>
    </row>
    <row r="8" spans="1:8">
      <c r="A8" s="31" t="s">
        <v>79</v>
      </c>
      <c r="B8" s="35"/>
      <c r="C8" s="51">
        <v>300000</v>
      </c>
      <c r="D8" s="30">
        <f t="shared" si="0"/>
        <v>300000</v>
      </c>
    </row>
    <row r="9" spans="1:8">
      <c r="A9" s="31" t="s">
        <v>80</v>
      </c>
      <c r="B9" s="19">
        <v>0</v>
      </c>
      <c r="C9" s="19"/>
      <c r="D9" s="30">
        <f t="shared" si="0"/>
        <v>0</v>
      </c>
    </row>
    <row r="10" spans="1:8">
      <c r="A10" s="31" t="s">
        <v>81</v>
      </c>
      <c r="B10" s="19">
        <v>0</v>
      </c>
      <c r="C10" s="19"/>
      <c r="D10" s="30">
        <f t="shared" si="0"/>
        <v>0</v>
      </c>
    </row>
    <row r="11" spans="1:8">
      <c r="A11" s="56" t="s">
        <v>82</v>
      </c>
      <c r="B11" s="20">
        <v>10000</v>
      </c>
      <c r="C11" s="19"/>
      <c r="D11" s="30">
        <f t="shared" si="0"/>
        <v>10000</v>
      </c>
    </row>
    <row r="12" spans="1:8" ht="31.5">
      <c r="A12" s="34" t="s">
        <v>83</v>
      </c>
      <c r="B12" s="22">
        <f>+SUM(B4:B11)</f>
        <v>85175</v>
      </c>
      <c r="C12" s="22">
        <f t="shared" ref="C12" si="1">+SUM(C4:C11)</f>
        <v>400337.5</v>
      </c>
      <c r="D12" s="39">
        <f t="shared" si="0"/>
        <v>485512.5</v>
      </c>
    </row>
    <row r="13" spans="1:8">
      <c r="A13" s="29" t="s">
        <v>84</v>
      </c>
      <c r="B13" s="19"/>
      <c r="C13" s="19"/>
      <c r="D13" s="30">
        <f t="shared" si="0"/>
        <v>0</v>
      </c>
    </row>
    <row r="14" spans="1:8">
      <c r="A14" s="31" t="s">
        <v>85</v>
      </c>
      <c r="B14" s="19"/>
      <c r="C14" s="51">
        <f>5*285</f>
        <v>1425</v>
      </c>
      <c r="D14" s="30">
        <f t="shared" si="0"/>
        <v>1425</v>
      </c>
    </row>
    <row r="15" spans="1:8">
      <c r="A15" s="31" t="s">
        <v>86</v>
      </c>
      <c r="B15" s="19"/>
      <c r="C15" s="51">
        <f>10*3500</f>
        <v>35000</v>
      </c>
      <c r="D15" s="30">
        <f t="shared" si="0"/>
        <v>35000</v>
      </c>
    </row>
    <row r="16" spans="1:8">
      <c r="A16" s="31" t="s">
        <v>87</v>
      </c>
      <c r="B16" s="19"/>
      <c r="C16" s="51">
        <f>1000*25</f>
        <v>25000</v>
      </c>
      <c r="D16" s="30">
        <f t="shared" si="0"/>
        <v>25000</v>
      </c>
    </row>
    <row r="17" spans="1:5">
      <c r="A17" s="31" t="s">
        <v>37</v>
      </c>
      <c r="B17" s="19"/>
      <c r="C17" s="19">
        <v>50000</v>
      </c>
      <c r="D17" s="30">
        <f t="shared" si="0"/>
        <v>50000</v>
      </c>
    </row>
    <row r="18" spans="1:5">
      <c r="A18" s="31" t="s">
        <v>39</v>
      </c>
      <c r="B18" s="19"/>
      <c r="C18" s="19"/>
      <c r="D18" s="30">
        <f t="shared" si="0"/>
        <v>0</v>
      </c>
    </row>
    <row r="19" spans="1:5">
      <c r="A19" s="31" t="s">
        <v>88</v>
      </c>
      <c r="B19" s="19"/>
      <c r="C19" s="19"/>
      <c r="D19" s="30">
        <f t="shared" si="0"/>
        <v>0</v>
      </c>
    </row>
    <row r="20" spans="1:5">
      <c r="A20" s="31" t="s">
        <v>89</v>
      </c>
      <c r="B20" s="19"/>
      <c r="C20" s="19"/>
      <c r="D20" s="30">
        <f t="shared" si="0"/>
        <v>0</v>
      </c>
    </row>
    <row r="21" spans="1:5">
      <c r="A21" s="31" t="s">
        <v>90</v>
      </c>
      <c r="B21" s="19"/>
      <c r="C21" s="19"/>
      <c r="D21" s="30">
        <f t="shared" si="0"/>
        <v>0</v>
      </c>
    </row>
    <row r="22" spans="1:5">
      <c r="A22" s="31" t="s">
        <v>91</v>
      </c>
      <c r="B22" s="19"/>
      <c r="C22" s="51">
        <v>500</v>
      </c>
      <c r="D22" s="30">
        <f t="shared" si="0"/>
        <v>500</v>
      </c>
    </row>
    <row r="23" spans="1:5">
      <c r="A23" s="31" t="s">
        <v>92</v>
      </c>
      <c r="B23" s="51">
        <f>300*10</f>
        <v>3000</v>
      </c>
      <c r="C23" s="51">
        <v>20000</v>
      </c>
      <c r="D23" s="30">
        <f t="shared" si="0"/>
        <v>23000</v>
      </c>
    </row>
    <row r="24" spans="1:5">
      <c r="A24" s="31" t="s">
        <v>93</v>
      </c>
      <c r="B24" s="19"/>
      <c r="C24" s="19"/>
      <c r="D24" s="30">
        <f t="shared" si="0"/>
        <v>0</v>
      </c>
    </row>
    <row r="25" spans="1:5">
      <c r="A25" s="31" t="s">
        <v>32</v>
      </c>
      <c r="B25" s="19"/>
      <c r="C25" s="19"/>
      <c r="D25" s="30">
        <f t="shared" si="0"/>
        <v>0</v>
      </c>
      <c r="E25" s="33" t="s">
        <v>94</v>
      </c>
    </row>
    <row r="26" spans="1:5">
      <c r="A26" s="31" t="s">
        <v>95</v>
      </c>
      <c r="B26" s="19"/>
      <c r="C26" s="19"/>
      <c r="D26" s="30">
        <f t="shared" si="0"/>
        <v>0</v>
      </c>
      <c r="E26" s="3" t="s">
        <v>96</v>
      </c>
    </row>
    <row r="27" spans="1:5">
      <c r="A27" s="31" t="s">
        <v>97</v>
      </c>
      <c r="B27" s="19"/>
      <c r="C27" s="19"/>
      <c r="D27" s="30">
        <f t="shared" si="0"/>
        <v>0</v>
      </c>
    </row>
    <row r="28" spans="1:5">
      <c r="A28" s="31" t="s">
        <v>98</v>
      </c>
      <c r="B28" s="51">
        <f>+การวิเคราะห์ข้อมูลประกอบงบดุล!C2+การวิเคราะห์ข้อมูลประกอบงบดุล!C3+การวิเคราะห์ข้อมูลประกอบงบดุล!C4</f>
        <v>2550</v>
      </c>
      <c r="C28" s="19"/>
      <c r="D28" s="30">
        <f t="shared" si="0"/>
        <v>2550</v>
      </c>
    </row>
    <row r="29" spans="1:5">
      <c r="A29" s="34" t="s">
        <v>99</v>
      </c>
      <c r="B29" s="40">
        <f>+SUM(B14:B28)</f>
        <v>5550</v>
      </c>
      <c r="C29" s="40">
        <f>+SUM(C14:C28)</f>
        <v>131925</v>
      </c>
      <c r="D29" s="41">
        <f t="shared" si="0"/>
        <v>137475</v>
      </c>
    </row>
    <row r="30" spans="1:5">
      <c r="A30" s="31" t="s">
        <v>100</v>
      </c>
      <c r="B30" s="19"/>
      <c r="C30" s="19"/>
      <c r="D30" s="30">
        <f t="shared" si="0"/>
        <v>0</v>
      </c>
    </row>
    <row r="31" spans="1:5">
      <c r="A31" s="31" t="s">
        <v>101</v>
      </c>
      <c r="B31" s="19"/>
      <c r="C31" s="19"/>
      <c r="D31" s="30">
        <f t="shared" si="0"/>
        <v>0</v>
      </c>
    </row>
    <row r="32" spans="1:5">
      <c r="A32" s="31" t="s">
        <v>102</v>
      </c>
      <c r="B32" s="51">
        <f>+งบดุล!D7</f>
        <v>51200</v>
      </c>
      <c r="C32" s="51">
        <f>+งบดุล!E7</f>
        <v>0</v>
      </c>
      <c r="D32" s="52">
        <f t="shared" si="0"/>
        <v>51200</v>
      </c>
    </row>
    <row r="33" spans="1:4">
      <c r="A33" s="29" t="s">
        <v>49</v>
      </c>
      <c r="B33" s="23">
        <f>+SUM(B31:B32)</f>
        <v>51200</v>
      </c>
      <c r="C33" s="23">
        <f>+SUM(C31:C32)</f>
        <v>0</v>
      </c>
      <c r="D33" s="36">
        <f t="shared" si="0"/>
        <v>51200</v>
      </c>
    </row>
    <row r="34" spans="1:4" ht="31.5">
      <c r="A34" s="34" t="s">
        <v>103</v>
      </c>
      <c r="B34" s="22">
        <f>+B33+B29</f>
        <v>56750</v>
      </c>
      <c r="C34" s="22">
        <f>+C33+C29</f>
        <v>131925</v>
      </c>
      <c r="D34" s="39">
        <f>+C34+B34</f>
        <v>188675</v>
      </c>
    </row>
    <row r="35" spans="1:4">
      <c r="A35" s="29" t="s">
        <v>104</v>
      </c>
      <c r="B35" s="23">
        <f>+B12-B34</f>
        <v>28425</v>
      </c>
      <c r="C35" s="23">
        <f>+C12-C34</f>
        <v>268412.5</v>
      </c>
      <c r="D35" s="23">
        <f>+C35+B35</f>
        <v>296837.5</v>
      </c>
    </row>
    <row r="36" spans="1:4">
      <c r="A36" s="31" t="s">
        <v>105</v>
      </c>
      <c r="B36" s="19"/>
      <c r="C36" s="19"/>
      <c r="D36" s="30">
        <f t="shared" si="0"/>
        <v>0</v>
      </c>
    </row>
    <row r="37" spans="1:4">
      <c r="A37" s="31" t="s">
        <v>106</v>
      </c>
      <c r="B37" s="19"/>
      <c r="C37" s="19"/>
      <c r="D37" s="30">
        <f t="shared" si="0"/>
        <v>0</v>
      </c>
    </row>
    <row r="38" spans="1:4">
      <c r="A38" s="31" t="s">
        <v>107</v>
      </c>
      <c r="B38" s="19"/>
      <c r="C38" s="19"/>
      <c r="D38" s="30">
        <f t="shared" si="0"/>
        <v>0</v>
      </c>
    </row>
    <row r="39" spans="1:4">
      <c r="A39" s="31" t="s">
        <v>108</v>
      </c>
      <c r="B39" s="19"/>
      <c r="C39" s="19"/>
      <c r="D39" s="30">
        <f t="shared" si="0"/>
        <v>0</v>
      </c>
    </row>
    <row r="40" spans="1:4">
      <c r="A40" s="29" t="s">
        <v>109</v>
      </c>
      <c r="B40" s="23">
        <v>0</v>
      </c>
      <c r="C40" s="23">
        <v>0</v>
      </c>
      <c r="D40" s="36">
        <v>0</v>
      </c>
    </row>
    <row r="41" spans="1:4" ht="31.5">
      <c r="A41" s="37" t="s">
        <v>110</v>
      </c>
      <c r="B41" s="42">
        <f>+B35+B40</f>
        <v>28425</v>
      </c>
      <c r="C41" s="42">
        <f>+C35+C40</f>
        <v>268412.5</v>
      </c>
      <c r="D41" s="42">
        <f>+C41+B41</f>
        <v>296837.5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68CA9-0A96-41AE-96E0-5230992631C0}">
  <dimension ref="A1:H43"/>
  <sheetViews>
    <sheetView tabSelected="1" zoomScale="60" zoomScaleNormal="60" workbookViewId="0">
      <selection activeCell="C38" sqref="C38"/>
    </sheetView>
  </sheetViews>
  <sheetFormatPr defaultColWidth="9" defaultRowHeight="30"/>
  <cols>
    <col min="1" max="1" width="73.1796875" style="3" bestFit="1" customWidth="1"/>
    <col min="2" max="2" width="22.26953125" style="38" customWidth="1"/>
    <col min="3" max="3" width="21" style="38" customWidth="1"/>
    <col min="4" max="4" width="24.1796875" style="38" customWidth="1"/>
    <col min="5" max="5" width="24" style="3" customWidth="1"/>
    <col min="6" max="16384" width="9" style="3"/>
  </cols>
  <sheetData>
    <row r="1" spans="1:8">
      <c r="A1" s="16" t="s">
        <v>111</v>
      </c>
      <c r="B1" s="25"/>
      <c r="C1" s="25"/>
      <c r="D1" s="25"/>
      <c r="E1" s="16"/>
      <c r="F1" s="16"/>
      <c r="G1" s="16"/>
      <c r="H1" s="16"/>
    </row>
    <row r="2" spans="1:8">
      <c r="A2" s="16"/>
      <c r="B2" s="58" t="s">
        <v>112</v>
      </c>
      <c r="C2" s="58"/>
      <c r="D2" s="58"/>
      <c r="E2" s="16"/>
      <c r="F2" s="16"/>
      <c r="G2" s="16"/>
      <c r="H2" s="16"/>
    </row>
    <row r="3" spans="1:8">
      <c r="A3" s="43" t="s">
        <v>70</v>
      </c>
      <c r="B3" s="38" t="s">
        <v>113</v>
      </c>
      <c r="C3" s="38" t="s">
        <v>114</v>
      </c>
      <c r="D3" s="38" t="s">
        <v>115</v>
      </c>
    </row>
    <row r="4" spans="1:8">
      <c r="A4" s="16" t="s">
        <v>116</v>
      </c>
    </row>
    <row r="5" spans="1:8">
      <c r="A5" s="31" t="s">
        <v>117</v>
      </c>
      <c r="B5" s="38">
        <f>+งบรายได้รายจ่าย!C4+งบรายได้รายจ่าย!C5</f>
        <v>100337.5</v>
      </c>
      <c r="C5" s="44"/>
    </row>
    <row r="6" spans="1:8">
      <c r="A6" s="3" t="s">
        <v>118</v>
      </c>
      <c r="B6" s="38">
        <f>+งบรายได้รายจ่าย!C8</f>
        <v>300000</v>
      </c>
      <c r="C6" s="44"/>
    </row>
    <row r="7" spans="1:8">
      <c r="A7" s="16" t="s">
        <v>84</v>
      </c>
    </row>
    <row r="8" spans="1:8">
      <c r="A8" s="3" t="s">
        <v>119</v>
      </c>
      <c r="C8" s="38">
        <f>+งบรายได้รายจ่าย!C14+งบรายได้รายจ่าย!C15+งบรายได้รายจ่าย!C16+งบรายได้รายจ่าย!C22+งบรายได้รายจ่าย!C23</f>
        <v>81925</v>
      </c>
    </row>
    <row r="9" spans="1:8">
      <c r="A9" s="3" t="s">
        <v>120</v>
      </c>
    </row>
    <row r="10" spans="1:8">
      <c r="A10" s="3" t="s">
        <v>121</v>
      </c>
    </row>
    <row r="11" spans="1:8">
      <c r="A11" s="3" t="s">
        <v>122</v>
      </c>
    </row>
    <row r="12" spans="1:8">
      <c r="A12" s="16" t="s">
        <v>123</v>
      </c>
      <c r="D12" s="45">
        <f>+B6+B5-C8</f>
        <v>318412.5</v>
      </c>
    </row>
    <row r="13" spans="1:8">
      <c r="A13" s="16" t="s">
        <v>124</v>
      </c>
    </row>
    <row r="14" spans="1:8">
      <c r="A14" s="3" t="s">
        <v>52</v>
      </c>
    </row>
    <row r="15" spans="1:8">
      <c r="A15" s="3" t="s">
        <v>125</v>
      </c>
    </row>
    <row r="16" spans="1:8">
      <c r="A16" s="3" t="s">
        <v>126</v>
      </c>
    </row>
    <row r="17" spans="1:4">
      <c r="A17" s="3" t="s">
        <v>127</v>
      </c>
    </row>
    <row r="18" spans="1:4">
      <c r="A18" s="3" t="s">
        <v>125</v>
      </c>
    </row>
    <row r="19" spans="1:4">
      <c r="A19" s="3" t="s">
        <v>126</v>
      </c>
    </row>
    <row r="20" spans="1:4">
      <c r="A20" s="3" t="s">
        <v>128</v>
      </c>
    </row>
    <row r="21" spans="1:4">
      <c r="A21" s="3" t="s">
        <v>125</v>
      </c>
    </row>
    <row r="22" spans="1:4">
      <c r="A22" s="3" t="s">
        <v>126</v>
      </c>
      <c r="C22" s="38">
        <v>500000</v>
      </c>
    </row>
    <row r="23" spans="1:4">
      <c r="A23" s="3" t="s">
        <v>129</v>
      </c>
    </row>
    <row r="24" spans="1:4">
      <c r="A24" s="3" t="s">
        <v>125</v>
      </c>
    </row>
    <row r="25" spans="1:4">
      <c r="A25" s="3" t="s">
        <v>126</v>
      </c>
    </row>
    <row r="26" spans="1:4">
      <c r="A26" s="46" t="s">
        <v>130</v>
      </c>
      <c r="B26" s="47"/>
      <c r="C26" s="47"/>
      <c r="D26" s="47">
        <f>B15+B18-C16-C22</f>
        <v>-500000</v>
      </c>
    </row>
    <row r="27" spans="1:4">
      <c r="A27" s="16" t="s">
        <v>131</v>
      </c>
    </row>
    <row r="28" spans="1:4">
      <c r="A28" s="3" t="s">
        <v>132</v>
      </c>
      <c r="B28" s="38">
        <v>520000</v>
      </c>
    </row>
    <row r="29" spans="1:4">
      <c r="A29" s="3" t="s">
        <v>133</v>
      </c>
    </row>
    <row r="30" spans="1:4">
      <c r="A30" s="46" t="s">
        <v>134</v>
      </c>
      <c r="B30" s="47"/>
      <c r="C30" s="47"/>
      <c r="D30" s="47">
        <f>B28-C29</f>
        <v>520000</v>
      </c>
    </row>
    <row r="31" spans="1:4">
      <c r="A31" s="16" t="s">
        <v>135</v>
      </c>
    </row>
    <row r="32" spans="1:4">
      <c r="A32" s="3" t="s">
        <v>136</v>
      </c>
    </row>
    <row r="33" spans="1:5">
      <c r="A33" s="3" t="s">
        <v>137</v>
      </c>
    </row>
    <row r="34" spans="1:5">
      <c r="A34" s="46" t="s">
        <v>138</v>
      </c>
      <c r="B34" s="47"/>
      <c r="C34" s="47"/>
      <c r="D34" s="47">
        <f>B32-C33</f>
        <v>0</v>
      </c>
    </row>
    <row r="35" spans="1:5">
      <c r="A35" s="46" t="s">
        <v>142</v>
      </c>
      <c r="B35" s="47">
        <f>+B5+B6+B28</f>
        <v>920337.5</v>
      </c>
      <c r="C35" s="47">
        <f>C8+C22</f>
        <v>581925</v>
      </c>
      <c r="D35" s="47">
        <f>B35-C35</f>
        <v>338412.5</v>
      </c>
    </row>
    <row r="36" spans="1:5" ht="31.5">
      <c r="A36" s="16" t="s">
        <v>139</v>
      </c>
      <c r="D36" s="48"/>
    </row>
    <row r="37" spans="1:5">
      <c r="A37" s="3" t="s">
        <v>140</v>
      </c>
      <c r="B37" s="38">
        <v>3000</v>
      </c>
      <c r="D37" s="45"/>
    </row>
    <row r="38" spans="1:5">
      <c r="A38" s="3" t="s">
        <v>141</v>
      </c>
      <c r="C38" s="38">
        <f>B39-C35</f>
        <v>341412.5</v>
      </c>
      <c r="D38" s="59">
        <f>B37-C38</f>
        <v>-338412.5</v>
      </c>
    </row>
    <row r="39" spans="1:5">
      <c r="A39" s="16" t="s">
        <v>46</v>
      </c>
      <c r="B39" s="45">
        <f>B35+B37</f>
        <v>923337.5</v>
      </c>
      <c r="C39" s="45">
        <f>+C22+C8</f>
        <v>581925</v>
      </c>
      <c r="D39" s="50">
        <f>+D12+D30+D26+D38</f>
        <v>0</v>
      </c>
      <c r="E39" s="53">
        <f>+B39-C39+B38</f>
        <v>341412.5</v>
      </c>
    </row>
    <row r="40" spans="1:5">
      <c r="A40" s="16"/>
      <c r="E40" s="32"/>
    </row>
    <row r="43" spans="1:5" ht="31.5">
      <c r="A43" s="49"/>
      <c r="D43" s="48"/>
    </row>
  </sheetData>
  <mergeCells count="1">
    <mergeCell ref="B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0392767A50770C47B4F40C804EDDB538" ma:contentTypeVersion="5" ma:contentTypeDescription="สร้างเอกสารใหม่" ma:contentTypeScope="" ma:versionID="b0f7144dff10b724ab9d85bb19f7bf57">
  <xsd:schema xmlns:xsd="http://www.w3.org/2001/XMLSchema" xmlns:xs="http://www.w3.org/2001/XMLSchema" xmlns:p="http://schemas.microsoft.com/office/2006/metadata/properties" xmlns:ns2="d3bbe31f-c9e6-45b8-968d-c34009d5eb54" xmlns:ns3="6a356c57-9678-49a5-8614-ffe533d8e4d1" targetNamespace="http://schemas.microsoft.com/office/2006/metadata/properties" ma:root="true" ma:fieldsID="a7ed4066ed72bdb14f27a0116ea57f82" ns2:_="" ns3:_="">
    <xsd:import namespace="d3bbe31f-c9e6-45b8-968d-c34009d5eb54"/>
    <xsd:import namespace="6a356c57-9678-49a5-8614-ffe533d8e4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be31f-c9e6-45b8-968d-c34009d5e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56c57-9678-49a5-8614-ffe533d8e4d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606D-C092-4722-9048-4E6617AB77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CAD56D-8932-4A9C-A1E2-10997AD0A54A}">
  <ds:schemaRefs>
    <ds:schemaRef ds:uri="d3bbe31f-c9e6-45b8-968d-c34009d5eb54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6a356c57-9678-49a5-8614-ffe533d8e4d1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2641613-2ECE-4E21-A811-2F28AB480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bbe31f-c9e6-45b8-968d-c34009d5eb54"/>
    <ds:schemaRef ds:uri="6a356c57-9678-49a5-8614-ffe533d8e4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เฉลยข้อที่ 2</vt:lpstr>
      <vt:lpstr>การวิเคราะห์ข้อมูลประกอบงบดุล</vt:lpstr>
      <vt:lpstr>งบดุล</vt:lpstr>
      <vt:lpstr>งบรายได้รายจ่าย</vt:lpstr>
      <vt:lpstr>งบกระแสเงินสด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birdy_033@hotmail.com</dc:creator>
  <cp:keywords/>
  <dc:description/>
  <cp:lastModifiedBy>Suwanna Sayruamyat</cp:lastModifiedBy>
  <cp:revision/>
  <dcterms:created xsi:type="dcterms:W3CDTF">2023-08-07T00:19:31Z</dcterms:created>
  <dcterms:modified xsi:type="dcterms:W3CDTF">2024-07-24T09:13:09Z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0x0101000392767A50770C47B4F40C804EDDB538</vt:lpwstr>
  </property>
</Properties>
</file>