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365ku.sharepoint.com/sites/01119322221EconofFarmManagement-Teamteaching/Shared Documents/Team teaching/"/>
    </mc:Choice>
  </mc:AlternateContent>
  <xr:revisionPtr revIDLastSave="110" documentId="13_ncr:1_{5C546BB8-64C7-3242-AB66-F3F3B8907EE4}" xr6:coauthVersionLast="47" xr6:coauthVersionMax="47" xr10:uidLastSave="{D369A2A2-A73E-4653-8195-169038C28627}"/>
  <bookViews>
    <workbookView xWindow="8630" yWindow="930" windowWidth="28710" windowHeight="19010" activeTab="4" xr2:uid="{00000000-000D-0000-FFFF-FFFF00000000}"/>
  </bookViews>
  <sheets>
    <sheet name="Invest analysis" sheetId="2" r:id="rId1"/>
    <sheet name="Sheet1" sheetId="3" r:id="rId2"/>
    <sheet name="Payback period" sheetId="4" r:id="rId3"/>
    <sheet name="Cash conversion cycle" sheetId="1" r:id="rId4"/>
    <sheet name="Flat rate - ผ่อนรถ" sheetId="5" r:id="rId5"/>
    <sheet name="Effective rate - โป๊ะได้" sheetId="6" r:id="rId6"/>
  </sheets>
  <definedNames>
    <definedName name="TaxRate">0.2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6" l="1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7" i="6"/>
  <c r="G6" i="6"/>
  <c r="F7" i="6" s="1"/>
  <c r="E7" i="6" s="1"/>
  <c r="E4" i="6"/>
  <c r="C20" i="5"/>
  <c r="H16" i="5"/>
  <c r="C15" i="5"/>
  <c r="C11" i="5"/>
  <c r="C6" i="5"/>
  <c r="H3" i="5"/>
  <c r="G7" i="6" l="1"/>
  <c r="F8" i="6" l="1"/>
  <c r="E8" i="6" l="1"/>
  <c r="G8" i="6" l="1"/>
  <c r="F9" i="6" l="1"/>
  <c r="E9" i="6" l="1"/>
  <c r="G9" i="6" l="1"/>
  <c r="F10" i="6" l="1"/>
  <c r="E10" i="6" l="1"/>
  <c r="G10" i="6" l="1"/>
  <c r="F11" i="6" l="1"/>
  <c r="E11" i="6" l="1"/>
  <c r="G11" i="6" l="1"/>
  <c r="F12" i="6" l="1"/>
  <c r="E12" i="6" l="1"/>
  <c r="G12" i="6" s="1"/>
  <c r="F13" i="6" l="1"/>
  <c r="E13" i="6" s="1"/>
  <c r="G13" i="6" s="1"/>
  <c r="F14" i="6" l="1"/>
  <c r="E14" i="6" s="1"/>
  <c r="G14" i="6" s="1"/>
  <c r="F15" i="6" l="1"/>
  <c r="E15" i="6" s="1"/>
  <c r="G15" i="6" s="1"/>
  <c r="F16" i="6" l="1"/>
  <c r="E16" i="6" s="1"/>
  <c r="G16" i="6" s="1"/>
  <c r="F17" i="6" l="1"/>
  <c r="E17" i="6" s="1"/>
  <c r="G17" i="6" s="1"/>
  <c r="F18" i="6" l="1"/>
  <c r="E18" i="6" s="1"/>
  <c r="G18" i="6" s="1"/>
  <c r="F19" i="6" l="1"/>
  <c r="E19" i="6" s="1"/>
  <c r="G19" i="6" s="1"/>
  <c r="F20" i="6" l="1"/>
  <c r="E20" i="6" s="1"/>
  <c r="G20" i="6" s="1"/>
  <c r="F21" i="6" l="1"/>
  <c r="E21" i="6" s="1"/>
  <c r="G21" i="6" s="1"/>
  <c r="F22" i="6" l="1"/>
  <c r="E22" i="6" s="1"/>
  <c r="G22" i="6" s="1"/>
  <c r="F23" i="6" l="1"/>
  <c r="E23" i="6" s="1"/>
  <c r="G23" i="6" s="1"/>
  <c r="F24" i="6" l="1"/>
  <c r="E24" i="6" s="1"/>
  <c r="G24" i="6" s="1"/>
  <c r="F25" i="6" l="1"/>
  <c r="E25" i="6" s="1"/>
  <c r="G25" i="6" s="1"/>
  <c r="F26" i="6" l="1"/>
  <c r="E26" i="6" s="1"/>
  <c r="G26" i="6" s="1"/>
  <c r="F27" i="6" l="1"/>
  <c r="E27" i="6" s="1"/>
  <c r="G27" i="6" s="1"/>
  <c r="F28" i="6" l="1"/>
  <c r="E28" i="6" s="1"/>
  <c r="G28" i="6" s="1"/>
  <c r="F29" i="6" l="1"/>
  <c r="E29" i="6" s="1"/>
  <c r="G29" i="6" s="1"/>
  <c r="F30" i="6" l="1"/>
  <c r="E30" i="6" s="1"/>
  <c r="G30" i="6" s="1"/>
  <c r="F31" i="6" l="1"/>
  <c r="E31" i="6" s="1"/>
  <c r="G31" i="6" s="1"/>
  <c r="F32" i="6" l="1"/>
  <c r="E32" i="6" s="1"/>
  <c r="G32" i="6" s="1"/>
  <c r="F33" i="6" l="1"/>
  <c r="E33" i="6" s="1"/>
  <c r="G33" i="6" s="1"/>
  <c r="F34" i="6" l="1"/>
  <c r="E34" i="6" s="1"/>
  <c r="G34" i="6"/>
  <c r="F35" i="6" l="1"/>
  <c r="E35" i="6" s="1"/>
  <c r="G35" i="6"/>
  <c r="F36" i="6" l="1"/>
  <c r="E36" i="6" s="1"/>
  <c r="G36" i="6" s="1"/>
  <c r="F37" i="6" l="1"/>
  <c r="E37" i="6" s="1"/>
  <c r="G37" i="6" s="1"/>
  <c r="F38" i="6" l="1"/>
  <c r="E38" i="6" s="1"/>
  <c r="G38" i="6" s="1"/>
  <c r="F39" i="6" l="1"/>
  <c r="E39" i="6" s="1"/>
  <c r="G39" i="6" s="1"/>
  <c r="F40" i="6" l="1"/>
  <c r="E40" i="6" s="1"/>
  <c r="G40" i="6" s="1"/>
  <c r="F41" i="6" l="1"/>
  <c r="E41" i="6" s="1"/>
  <c r="G41" i="6" s="1"/>
  <c r="F42" i="6" l="1"/>
  <c r="E42" i="6" s="1"/>
  <c r="G42" i="6" s="1"/>
  <c r="F43" i="6" l="1"/>
  <c r="E43" i="6" s="1"/>
  <c r="G43" i="6" s="1"/>
  <c r="F44" i="6" l="1"/>
  <c r="E44" i="6" s="1"/>
  <c r="G44" i="6" s="1"/>
  <c r="F45" i="6" l="1"/>
  <c r="E45" i="6" s="1"/>
  <c r="G45" i="6" s="1"/>
  <c r="F46" i="6" l="1"/>
  <c r="E46" i="6" s="1"/>
  <c r="G46" i="6" s="1"/>
  <c r="F47" i="6" l="1"/>
  <c r="E47" i="6" s="1"/>
  <c r="G47" i="6" s="1"/>
  <c r="F48" i="6" l="1"/>
  <c r="E48" i="6" s="1"/>
  <c r="G48" i="6" s="1"/>
  <c r="F49" i="6" l="1"/>
  <c r="E49" i="6" s="1"/>
  <c r="G49" i="6" s="1"/>
  <c r="F50" i="6" l="1"/>
  <c r="E50" i="6" s="1"/>
  <c r="G50" i="6" s="1"/>
  <c r="F51" i="6" l="1"/>
  <c r="E51" i="6" s="1"/>
  <c r="G51" i="6" s="1"/>
  <c r="F52" i="6" l="1"/>
  <c r="E52" i="6" s="1"/>
  <c r="G52" i="6" s="1"/>
  <c r="F53" i="6" l="1"/>
  <c r="E53" i="6" s="1"/>
  <c r="G53" i="6" s="1"/>
  <c r="F54" i="6" l="1"/>
  <c r="E54" i="6" s="1"/>
  <c r="G54" i="6" s="1"/>
  <c r="F55" i="6" l="1"/>
  <c r="E55" i="6" s="1"/>
  <c r="G55" i="6" s="1"/>
  <c r="F56" i="6" l="1"/>
  <c r="E56" i="6" s="1"/>
  <c r="G56" i="6" s="1"/>
  <c r="F57" i="6" l="1"/>
  <c r="E57" i="6" s="1"/>
  <c r="G57" i="6" s="1"/>
  <c r="F58" i="6" l="1"/>
  <c r="E58" i="6" s="1"/>
  <c r="G58" i="6" s="1"/>
  <c r="F59" i="6" l="1"/>
  <c r="E59" i="6" s="1"/>
  <c r="G59" i="6" s="1"/>
  <c r="F60" i="6" l="1"/>
  <c r="E60" i="6" s="1"/>
  <c r="G60" i="6" s="1"/>
  <c r="F61" i="6" l="1"/>
  <c r="E61" i="6" s="1"/>
  <c r="G61" i="6" s="1"/>
  <c r="F62" i="6" l="1"/>
  <c r="E62" i="6" s="1"/>
  <c r="G62" i="6" s="1"/>
  <c r="F63" i="6" l="1"/>
  <c r="E63" i="6" s="1"/>
  <c r="G63" i="6" s="1"/>
  <c r="F64" i="6" l="1"/>
  <c r="E64" i="6" s="1"/>
  <c r="G64" i="6" s="1"/>
  <c r="F65" i="6" l="1"/>
  <c r="E65" i="6" s="1"/>
  <c r="G65" i="6" s="1"/>
  <c r="F66" i="6" l="1"/>
  <c r="E66" i="6" s="1"/>
  <c r="G66" i="6" s="1"/>
  <c r="F67" i="6" l="1"/>
  <c r="E67" i="6" s="1"/>
  <c r="G67" i="6" s="1"/>
  <c r="F68" i="6" l="1"/>
  <c r="E68" i="6" s="1"/>
  <c r="G68" i="6" s="1"/>
  <c r="F69" i="6" l="1"/>
  <c r="E69" i="6" s="1"/>
  <c r="G69" i="6" s="1"/>
  <c r="F70" i="6" l="1"/>
  <c r="E70" i="6" s="1"/>
  <c r="G70" i="6" s="1"/>
  <c r="F71" i="6" l="1"/>
  <c r="E71" i="6" s="1"/>
  <c r="G71" i="6" s="1"/>
  <c r="F72" i="6" l="1"/>
  <c r="E72" i="6" s="1"/>
  <c r="G72" i="6" s="1"/>
  <c r="F73" i="6" l="1"/>
  <c r="E73" i="6" s="1"/>
  <c r="G73" i="6" s="1"/>
  <c r="F74" i="6" l="1"/>
  <c r="E74" i="6" s="1"/>
  <c r="G74" i="6" s="1"/>
  <c r="F75" i="6" l="1"/>
  <c r="E75" i="6" s="1"/>
  <c r="G75" i="6" s="1"/>
  <c r="F76" i="6" l="1"/>
  <c r="E76" i="6" s="1"/>
  <c r="G76" i="6" s="1"/>
  <c r="F77" i="6" l="1"/>
  <c r="E77" i="6" s="1"/>
  <c r="G77" i="6" s="1"/>
  <c r="F78" i="6" l="1"/>
  <c r="E78" i="6" s="1"/>
  <c r="G78" i="6" s="1"/>
  <c r="F79" i="6" l="1"/>
  <c r="E79" i="6" s="1"/>
  <c r="G79" i="6" s="1"/>
  <c r="F80" i="6" l="1"/>
  <c r="E80" i="6" s="1"/>
  <c r="G80" i="6" s="1"/>
  <c r="F81" i="6" l="1"/>
  <c r="E81" i="6" s="1"/>
  <c r="G81" i="6" s="1"/>
  <c r="F82" i="6" l="1"/>
  <c r="E82" i="6" s="1"/>
  <c r="G82" i="6" s="1"/>
  <c r="F83" i="6" l="1"/>
  <c r="E83" i="6" s="1"/>
  <c r="G83" i="6" s="1"/>
  <c r="F84" i="6" l="1"/>
  <c r="E84" i="6" s="1"/>
  <c r="G84" i="6" s="1"/>
  <c r="F85" i="6" l="1"/>
  <c r="E85" i="6" s="1"/>
  <c r="G85" i="6" s="1"/>
  <c r="F86" i="6" l="1"/>
  <c r="E86" i="6" s="1"/>
  <c r="G86" i="6" s="1"/>
  <c r="F87" i="6" l="1"/>
  <c r="E87" i="6" s="1"/>
  <c r="G87" i="6" s="1"/>
  <c r="F88" i="6" l="1"/>
  <c r="E88" i="6" s="1"/>
  <c r="G88" i="6" s="1"/>
  <c r="F89" i="6" l="1"/>
  <c r="E89" i="6" s="1"/>
  <c r="G89" i="6" s="1"/>
  <c r="F90" i="6" l="1"/>
  <c r="E90" i="6" s="1"/>
  <c r="G90" i="6" s="1"/>
  <c r="F91" i="6" l="1"/>
  <c r="E91" i="6" s="1"/>
  <c r="G91" i="6" s="1"/>
  <c r="F92" i="6" l="1"/>
  <c r="E92" i="6" s="1"/>
  <c r="G92" i="6" s="1"/>
  <c r="F93" i="6" l="1"/>
  <c r="E93" i="6" s="1"/>
  <c r="G93" i="6" s="1"/>
  <c r="F94" i="6" l="1"/>
  <c r="E94" i="6" s="1"/>
  <c r="G94" i="6" s="1"/>
  <c r="F95" i="6" l="1"/>
  <c r="E95" i="6" s="1"/>
  <c r="G95" i="6" s="1"/>
  <c r="F96" i="6" l="1"/>
  <c r="E96" i="6" s="1"/>
  <c r="G96" i="6" s="1"/>
  <c r="F97" i="6" l="1"/>
  <c r="E97" i="6" s="1"/>
  <c r="G97" i="6" s="1"/>
  <c r="F98" i="6" l="1"/>
  <c r="E98" i="6" s="1"/>
  <c r="G98" i="6" s="1"/>
  <c r="F99" i="6" l="1"/>
  <c r="E99" i="6" s="1"/>
  <c r="G99" i="6" s="1"/>
  <c r="F100" i="6" l="1"/>
  <c r="E100" i="6" s="1"/>
  <c r="G100" i="6" s="1"/>
  <c r="F101" i="6" l="1"/>
  <c r="E101" i="6" s="1"/>
  <c r="G101" i="6" s="1"/>
  <c r="F102" i="6" l="1"/>
  <c r="E102" i="6" s="1"/>
  <c r="G102" i="6" s="1"/>
  <c r="F103" i="6" l="1"/>
  <c r="E103" i="6" s="1"/>
  <c r="G103" i="6" s="1"/>
  <c r="F104" i="6" l="1"/>
  <c r="E104" i="6" s="1"/>
  <c r="G104" i="6" s="1"/>
  <c r="F105" i="6" l="1"/>
  <c r="E105" i="6" s="1"/>
  <c r="G105" i="6" s="1"/>
  <c r="F106" i="6" l="1"/>
  <c r="E106" i="6" s="1"/>
  <c r="G106" i="6" s="1"/>
  <c r="F107" i="6" l="1"/>
  <c r="E107" i="6" s="1"/>
  <c r="G107" i="6" s="1"/>
  <c r="F108" i="6" l="1"/>
  <c r="E108" i="6" s="1"/>
  <c r="G108" i="6" s="1"/>
  <c r="F109" i="6" l="1"/>
  <c r="E109" i="6" s="1"/>
  <c r="G109" i="6" s="1"/>
  <c r="F110" i="6" l="1"/>
  <c r="E110" i="6" s="1"/>
  <c r="G110" i="6" s="1"/>
  <c r="F111" i="6" l="1"/>
  <c r="E111" i="6" s="1"/>
  <c r="G111" i="6" s="1"/>
  <c r="F112" i="6" l="1"/>
  <c r="E112" i="6" s="1"/>
  <c r="G112" i="6" s="1"/>
  <c r="F113" i="6" l="1"/>
  <c r="E113" i="6" s="1"/>
  <c r="G113" i="6" s="1"/>
  <c r="B29" i="2"/>
  <c r="B23" i="2"/>
  <c r="E13" i="3"/>
  <c r="E12" i="3"/>
  <c r="F11" i="3"/>
  <c r="D3" i="3"/>
  <c r="E3" i="3"/>
  <c r="E5" i="3"/>
  <c r="E6" i="3"/>
  <c r="E7" i="3"/>
  <c r="E8" i="3"/>
  <c r="E4" i="3"/>
  <c r="D5" i="3"/>
  <c r="D6" i="3"/>
  <c r="D7" i="3"/>
  <c r="D8" i="3"/>
  <c r="D4" i="3"/>
  <c r="C16" i="4"/>
  <c r="C17" i="4"/>
  <c r="C18" i="4"/>
  <c r="C19" i="4"/>
  <c r="C20" i="4"/>
  <c r="C21" i="4"/>
  <c r="C22" i="4"/>
  <c r="C15" i="4"/>
  <c r="F114" i="6" l="1"/>
  <c r="E114" i="6" s="1"/>
  <c r="G114" i="6" s="1"/>
  <c r="E10" i="3"/>
  <c r="E11" i="3" s="1"/>
  <c r="D15" i="4"/>
  <c r="D16" i="4" s="1"/>
  <c r="D17" i="4" s="1"/>
  <c r="D18" i="4" s="1"/>
  <c r="D6" i="4"/>
  <c r="D7" i="4" s="1"/>
  <c r="D5" i="4"/>
  <c r="D4" i="4"/>
  <c r="F115" i="6" l="1"/>
  <c r="E115" i="6" s="1"/>
  <c r="G115" i="6" s="1"/>
  <c r="D19" i="4"/>
  <c r="D20" i="4" s="1"/>
  <c r="D21" i="4" s="1"/>
  <c r="D22" i="4" s="1"/>
  <c r="D8" i="4"/>
  <c r="D9" i="4" s="1"/>
  <c r="D10" i="4" s="1"/>
  <c r="D11" i="4" s="1"/>
  <c r="G4" i="4"/>
  <c r="G6" i="4" s="1"/>
  <c r="G9" i="4"/>
  <c r="F116" i="6" l="1"/>
  <c r="E116" i="6" s="1"/>
  <c r="G116" i="6" s="1"/>
  <c r="G20" i="4"/>
  <c r="G15" i="4"/>
  <c r="G5" i="4"/>
  <c r="G8" i="4" s="1"/>
  <c r="F117" i="6" l="1"/>
  <c r="E117" i="6" s="1"/>
  <c r="G117" i="6" s="1"/>
  <c r="G17" i="4"/>
  <c r="G16" i="4"/>
  <c r="G7" i="4"/>
  <c r="F118" i="6" l="1"/>
  <c r="E118" i="6" s="1"/>
  <c r="G118" i="6" s="1"/>
  <c r="G19" i="4"/>
  <c r="G18" i="4"/>
  <c r="F119" i="6" l="1"/>
  <c r="E119" i="6" s="1"/>
  <c r="G119" i="6" s="1"/>
  <c r="F12" i="3"/>
  <c r="F13" i="3"/>
  <c r="B20" i="2"/>
  <c r="L13" i="2"/>
  <c r="L14" i="2" s="1"/>
  <c r="L17" i="2" s="1"/>
  <c r="K13" i="2"/>
  <c r="K14" i="2" s="1"/>
  <c r="K17" i="2" s="1"/>
  <c r="J13" i="2"/>
  <c r="J14" i="2" s="1"/>
  <c r="J17" i="2" s="1"/>
  <c r="I13" i="2"/>
  <c r="I14" i="2" s="1"/>
  <c r="I17" i="2" s="1"/>
  <c r="H13" i="2"/>
  <c r="H14" i="2" s="1"/>
  <c r="H17" i="2" s="1"/>
  <c r="G13" i="2"/>
  <c r="G14" i="2" s="1"/>
  <c r="G17" i="2" s="1"/>
  <c r="F13" i="2"/>
  <c r="F14" i="2" s="1"/>
  <c r="F17" i="2" s="1"/>
  <c r="E13" i="2"/>
  <c r="E14" i="2" s="1"/>
  <c r="E17" i="2" s="1"/>
  <c r="D13" i="2"/>
  <c r="D14" i="2" s="1"/>
  <c r="D17" i="2" s="1"/>
  <c r="C13" i="2"/>
  <c r="C14" i="2" s="1"/>
  <c r="C17" i="2" s="1"/>
  <c r="D21" i="1"/>
  <c r="E21" i="1"/>
  <c r="F21" i="1"/>
  <c r="G21" i="1"/>
  <c r="H21" i="1"/>
  <c r="I21" i="1"/>
  <c r="J21" i="1"/>
  <c r="K21" i="1"/>
  <c r="L21" i="1"/>
  <c r="C21" i="1"/>
  <c r="F120" i="6" l="1"/>
  <c r="E120" i="6" s="1"/>
  <c r="G120" i="6" s="1"/>
  <c r="F18" i="2"/>
  <c r="F19" i="2" s="1"/>
  <c r="F20" i="2" s="1"/>
  <c r="E18" i="2"/>
  <c r="E19" i="2" s="1"/>
  <c r="E20" i="2" s="1"/>
  <c r="H18" i="2"/>
  <c r="H19" i="2" s="1"/>
  <c r="H20" i="2" s="1"/>
  <c r="I18" i="2"/>
  <c r="I19" i="2" s="1"/>
  <c r="I20" i="2" s="1"/>
  <c r="J18" i="2"/>
  <c r="J19" i="2" s="1"/>
  <c r="J20" i="2" s="1"/>
  <c r="C18" i="2"/>
  <c r="C19" i="2" s="1"/>
  <c r="C20" i="2" s="1"/>
  <c r="K18" i="2"/>
  <c r="K19" i="2" s="1"/>
  <c r="K20" i="2" s="1"/>
  <c r="G18" i="2"/>
  <c r="G19" i="2" s="1"/>
  <c r="G20" i="2" s="1"/>
  <c r="B21" i="2"/>
  <c r="D18" i="2"/>
  <c r="D19" i="2" s="1"/>
  <c r="D20" i="2" s="1"/>
  <c r="L18" i="2"/>
  <c r="L19" i="2" s="1"/>
  <c r="L20" i="2" s="1"/>
  <c r="B24" i="1"/>
  <c r="D14" i="1"/>
  <c r="D15" i="1" s="1"/>
  <c r="D18" i="1" s="1"/>
  <c r="D19" i="1" s="1"/>
  <c r="E14" i="1"/>
  <c r="E15" i="1" s="1"/>
  <c r="E18" i="1" s="1"/>
  <c r="E19" i="1" s="1"/>
  <c r="F14" i="1"/>
  <c r="F15" i="1" s="1"/>
  <c r="F18" i="1" s="1"/>
  <c r="F19" i="1" s="1"/>
  <c r="G14" i="1"/>
  <c r="G15" i="1" s="1"/>
  <c r="G18" i="1" s="1"/>
  <c r="G19" i="1" s="1"/>
  <c r="H14" i="1"/>
  <c r="H15" i="1" s="1"/>
  <c r="H18" i="1" s="1"/>
  <c r="H19" i="1" s="1"/>
  <c r="I14" i="1"/>
  <c r="I15" i="1" s="1"/>
  <c r="I18" i="1" s="1"/>
  <c r="I19" i="1" s="1"/>
  <c r="J14" i="1"/>
  <c r="J15" i="1" s="1"/>
  <c r="J18" i="1" s="1"/>
  <c r="J19" i="1" s="1"/>
  <c r="K14" i="1"/>
  <c r="K15" i="1" s="1"/>
  <c r="K18" i="1" s="1"/>
  <c r="K19" i="1" s="1"/>
  <c r="L14" i="1"/>
  <c r="L15" i="1" s="1"/>
  <c r="L18" i="1" s="1"/>
  <c r="L19" i="1" s="1"/>
  <c r="C14" i="1"/>
  <c r="C15" i="1" s="1"/>
  <c r="C18" i="1" s="1"/>
  <c r="C19" i="1" s="1"/>
  <c r="J22" i="1"/>
  <c r="K22" i="1"/>
  <c r="L22" i="1"/>
  <c r="D22" i="1"/>
  <c r="E22" i="1"/>
  <c r="F22" i="1"/>
  <c r="G22" i="1"/>
  <c r="H22" i="1"/>
  <c r="I22" i="1"/>
  <c r="C22" i="1"/>
  <c r="C23" i="1" s="1"/>
  <c r="F121" i="6" l="1"/>
  <c r="E121" i="6" s="1"/>
  <c r="G121" i="6" s="1"/>
  <c r="I21" i="2"/>
  <c r="E21" i="2"/>
  <c r="B25" i="2"/>
  <c r="G21" i="2"/>
  <c r="H21" i="2"/>
  <c r="K21" i="2"/>
  <c r="J21" i="2"/>
  <c r="L21" i="2"/>
  <c r="F21" i="2"/>
  <c r="B27" i="2"/>
  <c r="C21" i="2"/>
  <c r="D21" i="2"/>
  <c r="B25" i="1"/>
  <c r="G23" i="1"/>
  <c r="L23" i="1"/>
  <c r="H23" i="1"/>
  <c r="J23" i="1"/>
  <c r="E23" i="1"/>
  <c r="F23" i="1"/>
  <c r="K23" i="1"/>
  <c r="I23" i="1"/>
  <c r="I20" i="1"/>
  <c r="H20" i="1"/>
  <c r="F20" i="1"/>
  <c r="E20" i="1"/>
  <c r="D20" i="1"/>
  <c r="C20" i="1"/>
  <c r="D23" i="1"/>
  <c r="K20" i="1"/>
  <c r="J20" i="1"/>
  <c r="L20" i="1"/>
  <c r="L24" i="1" s="1"/>
  <c r="F122" i="6" l="1"/>
  <c r="E122" i="6" s="1"/>
  <c r="G122" i="6" s="1"/>
  <c r="I24" i="1"/>
  <c r="F24" i="1"/>
  <c r="H24" i="1"/>
  <c r="K24" i="1"/>
  <c r="C24" i="1"/>
  <c r="E24" i="1"/>
  <c r="G20" i="1"/>
  <c r="G24" i="1" s="1"/>
  <c r="J24" i="1"/>
  <c r="D24" i="1"/>
  <c r="F123" i="6" l="1"/>
  <c r="G4" i="6" s="1"/>
  <c r="D123" i="6"/>
  <c r="E123" i="6" s="1"/>
  <c r="I3" i="6" s="1"/>
  <c r="C25" i="1"/>
  <c r="B33" i="1"/>
  <c r="B31" i="1"/>
  <c r="B29" i="1"/>
  <c r="F25" i="1"/>
  <c r="J25" i="1"/>
  <c r="G25" i="1"/>
  <c r="K25" i="1"/>
  <c r="D25" i="1"/>
  <c r="H25" i="1"/>
  <c r="I25" i="1"/>
  <c r="L25" i="1"/>
  <c r="E25" i="1"/>
  <c r="G123" i="6" l="1"/>
  <c r="B27" i="1"/>
</calcChain>
</file>

<file path=xl/sharedStrings.xml><?xml version="1.0" encoding="utf-8"?>
<sst xmlns="http://schemas.openxmlformats.org/spreadsheetml/2006/main" count="183" uniqueCount="136">
  <si>
    <t>Working Capital Change</t>
  </si>
  <si>
    <t>Free Cash Flow</t>
  </si>
  <si>
    <t>Net Operation After Tax (NOPAT)</t>
  </si>
  <si>
    <t>Loss from asset write-off</t>
  </si>
  <si>
    <t>Year 0</t>
  </si>
  <si>
    <t>Year 1</t>
  </si>
  <si>
    <t>Year 2</t>
  </si>
  <si>
    <t>Year 3</t>
  </si>
  <si>
    <t>Year 4</t>
  </si>
  <si>
    <t>Year 5</t>
  </si>
  <si>
    <t>Year 6</t>
  </si>
  <si>
    <t>Year 7</t>
  </si>
  <si>
    <t>Net Sales</t>
  </si>
  <si>
    <t>Cost of Good Sold</t>
  </si>
  <si>
    <t>Gross Profit</t>
  </si>
  <si>
    <t>SG&amp;A</t>
  </si>
  <si>
    <t>Operating Income</t>
  </si>
  <si>
    <t>Tax</t>
  </si>
  <si>
    <t>Working Capital</t>
  </si>
  <si>
    <t>PROJECT X</t>
  </si>
  <si>
    <t>Year 8</t>
  </si>
  <si>
    <t>Year 9</t>
  </si>
  <si>
    <t>Year 10</t>
  </si>
  <si>
    <t>Depreciation</t>
  </si>
  <si>
    <t>Tax Rate</t>
  </si>
  <si>
    <t>%</t>
  </si>
  <si>
    <t>ASSUMPTION</t>
  </si>
  <si>
    <t>UNIT</t>
  </si>
  <si>
    <t>AMOUNT</t>
  </si>
  <si>
    <t>Investment (Capital Expenditure)</t>
  </si>
  <si>
    <t>Depreciation of Capital Expenditure</t>
  </si>
  <si>
    <t>Cash Conversion Cycle (days)</t>
  </si>
  <si>
    <t>NPV</t>
  </si>
  <si>
    <t>IRR</t>
  </si>
  <si>
    <t>Cash conversion cycle (CCC)</t>
  </si>
  <si>
    <t>day</t>
  </si>
  <si>
    <t>WACC (or interest rate)</t>
  </si>
  <si>
    <t>PROJECT FEASIBILITY</t>
  </si>
  <si>
    <t>Cumulative Free Cash Flow</t>
  </si>
  <si>
    <t>PAYBACK PERIOD</t>
  </si>
  <si>
    <t>MIRR</t>
  </si>
  <si>
    <t>Financial rate</t>
  </si>
  <si>
    <t>Reinvestment rate</t>
  </si>
  <si>
    <t>Please input all assumptions in  green cell</t>
  </si>
  <si>
    <t>For MIRR</t>
  </si>
  <si>
    <t>Years</t>
  </si>
  <si>
    <t>หมายเหตุ</t>
  </si>
  <si>
    <t>Cash conversion cycle (CCC) คือ วงจรเงินสด กระบวนการตั้งแต่เริ่มต้นคำสั่งซื้อจากลูกค้า ลงทุนในวัตถุดิบ ค่าแรงจนถึงการรับเงินจากลูกค้า ถึงเป็นอันสิ้นสุดใน 1 วัฏจักรเงินสด</t>
  </si>
  <si>
    <t>SG&amp;A คือ ต้นทุนการขายและบริหาร</t>
  </si>
  <si>
    <t>กำไรขั้นต้น</t>
  </si>
  <si>
    <t>ค่าใช้จ่ายการขายและบริหาร</t>
  </si>
  <si>
    <t>มูลค่าการลงทุนในสินทรัพย์</t>
  </si>
  <si>
    <t>ยอดขายสุทธิ</t>
  </si>
  <si>
    <t>ต้นทุนการขาย</t>
  </si>
  <si>
    <t>ค่าเสื่อมราคาสินทรัพย์</t>
  </si>
  <si>
    <t>ตัดจำหน่ายสินทรัพย์</t>
  </si>
  <si>
    <t>ภาษี</t>
  </si>
  <si>
    <t>กำไรสุทธิหลังหักภาษี</t>
  </si>
  <si>
    <t>กำไรสุทธิก่อนหักภาษี</t>
  </si>
  <si>
    <r>
      <t>ใส่ข้อมูลสำหรับการวิเคราะห์ในช่อง</t>
    </r>
    <r>
      <rPr>
        <b/>
        <sz val="14"/>
        <color theme="6" tint="-0.249977111117893"/>
        <rFont val="Calibri (Body)"/>
      </rPr>
      <t>สีเขียว</t>
    </r>
  </si>
  <si>
    <t>Year</t>
  </si>
  <si>
    <t>Net Cash Revenues</t>
  </si>
  <si>
    <t>Present Value Factor at 8%</t>
  </si>
  <si>
    <t>PV of Net Cash Revenues</t>
  </si>
  <si>
    <t>Sum PV</t>
  </si>
  <si>
    <t>MIRR (8%,8%)</t>
  </si>
  <si>
    <t xml:space="preserve">Reinvestment rate </t>
  </si>
  <si>
    <t>Initial investment</t>
  </si>
  <si>
    <t xml:space="preserve">Year </t>
  </si>
  <si>
    <t xml:space="preserve">Cash flow </t>
  </si>
  <si>
    <t xml:space="preserve">Cumulative </t>
  </si>
  <si>
    <t>discount rate</t>
  </si>
  <si>
    <t>=MATCH(0,$D$4:$D$11,1)</t>
  </si>
  <si>
    <t>=@INDEX($C$4:$C$11,G4+1)</t>
  </si>
  <si>
    <t>=@INDEX($D$4:$D$11,G4)</t>
  </si>
  <si>
    <t>=(MATCH(0,$D$4:$D$10,1)-1)&amp;"Y "&amp;ROUNDUP((ABS(INDEX($D$4:$D$10,MATCH(0,$D$4:$D$10,1))/@INDEX($C$4:$C$10,MATCH(0,$D$4:$D$10,1)+1)))*12,0)&amp;"M"</t>
  </si>
  <si>
    <t>=MATCH(0,$D$15:$D$22,1)</t>
  </si>
  <si>
    <t>=(G15-1)&amp;"Y "&amp;ROUNDUP((ABS(G16/G15))*12,0)&amp;"M"</t>
  </si>
  <si>
    <t>=(MATCH(0,$D$15:$D$22,1)-1)&amp;"Y "&amp;ROUNDUP((ABS(INDEX($D$15:$D$22,MATCH(0,$D$15:$D$22,1))/@INDEX($C$15:$C$22,MATCH(0,$D$15:$D$22,1)+1)))*12,0)&amp;"M"</t>
  </si>
  <si>
    <t>=@INDEX($C$15:$C$22,G15+1)</t>
  </si>
  <si>
    <t>=@INDEX($D$15:$D$22,G15)</t>
  </si>
  <si>
    <t>=(G4-1)+(ABS(G6/G5))</t>
  </si>
  <si>
    <t>=(G4-1)&amp;"Y "&amp;ROUNDUP((ABS(G6/G5))*12,0)&amp;"M"</t>
  </si>
  <si>
    <t>=(G15-1)+(ABS(G17/G16))</t>
  </si>
  <si>
    <t>1/(1+$H$4)^B4</t>
  </si>
  <si>
    <t>อัตราคิดลด</t>
  </si>
  <si>
    <t>MIRR(C3:C8,H4,H5)</t>
  </si>
  <si>
    <t>IRR(C3:C8)</t>
  </si>
  <si>
    <t>Flat rate</t>
  </si>
  <si>
    <t>ผ่อนรถ</t>
  </si>
  <si>
    <t>อัตราดอกเบี้ย/ปี</t>
  </si>
  <si>
    <t>Step</t>
  </si>
  <si>
    <t>เงินกู้</t>
  </si>
  <si>
    <t>บาท</t>
  </si>
  <si>
    <t>ยอดผ่อน/เดือน</t>
  </si>
  <si>
    <t xml:space="preserve">สร้างตาราง อัตราดอกเบี้ย ปีที่กู้ </t>
  </si>
  <si>
    <t>ดอกเบี้ย</t>
  </si>
  <si>
    <t>ต่อปี</t>
  </si>
  <si>
    <t>ปีที่</t>
  </si>
  <si>
    <t>ใส่สูตรยอดผ่อนรายเดือนในช่อง H3</t>
  </si>
  <si>
    <t>ระยะเวลาผ่อน</t>
  </si>
  <si>
    <t>ปี</t>
  </si>
  <si>
    <t>คลุมพื้นที่ H1:P8</t>
  </si>
  <si>
    <t>จำนวนงวด</t>
  </si>
  <si>
    <t>งวด</t>
  </si>
  <si>
    <t>เลือก Tab: Data &gt;What-if Analysis &gt; Data Table</t>
  </si>
  <si>
    <t>Row Input Cell เลือก Cell อัตราดอกเบี้ย (C4)</t>
  </si>
  <si>
    <t>คำนวณยอดผ่อนเงินกู้แบบเงินต้นคงที่ (Flat rate)</t>
  </si>
  <si>
    <t>Column Input Cell เลือก Cell จำนวนปี (C5)</t>
  </si>
  <si>
    <t>สูตร =</t>
  </si>
  <si>
    <t>(เงินต้น+ดอกเบี้ยทุกปี) / (จำนวนงวดทั้งหมด)</t>
  </si>
  <si>
    <t>ยอดผ่อนแบบ Flat rate</t>
  </si>
  <si>
    <t>บาท/งวด</t>
  </si>
  <si>
    <t>Effective rate</t>
  </si>
  <si>
    <t>ผ่อนบ้าน สินเชื่อ</t>
  </si>
  <si>
    <t xml:space="preserve">คำนวณยอดผ่อน แบบลดต้นลดดอก </t>
  </si>
  <si>
    <t>อัตราดอกเบี้ยต่องวด</t>
  </si>
  <si>
    <t>ต่อเดือน</t>
  </si>
  <si>
    <t>PMT(อัตราดอกเบี้ยต่องวด,จำนวนงวดทั้งหมด, - เงินต้น)</t>
  </si>
  <si>
    <t>PMT(C4/12,C5*12, -C3)</t>
  </si>
  <si>
    <t>ยอดผ่อนแบบ Effective rate</t>
  </si>
  <si>
    <t>บาท/เดือน</t>
  </si>
  <si>
    <t>วงเงินกู้</t>
  </si>
  <si>
    <t>อัตราดอกเบี้ย/เดือน</t>
  </si>
  <si>
    <t>รวมดอกเบี้ย</t>
  </si>
  <si>
    <t>งวดที่</t>
  </si>
  <si>
    <t>ยอดชำระ</t>
  </si>
  <si>
    <t>ชำระเงินต้น</t>
  </si>
  <si>
    <t>ชำระดอกเบี้ย</t>
  </si>
  <si>
    <t>ยอดหนี้คงเหลือ</t>
  </si>
  <si>
    <t>ยอดชำระดอกเบี้ย</t>
  </si>
  <si>
    <t>=</t>
  </si>
  <si>
    <t>ยอดหนี้คงเหลือ * อัตราดอกเบี้ยปี/12</t>
  </si>
  <si>
    <t>ยอดชำระเงินต้น</t>
  </si>
  <si>
    <t>ยอดชำระ - ยอดชำระดอกเบี้ย ณ เดือนนั้น</t>
  </si>
  <si>
    <t>ยอดหนึ้คงเหลือเดือนก่อน - ยอดชำระเงินต้น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</si>
</sst>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£&quot;#,##0.00;[Red]\-&quot;£&quot;#,##0.00"/>
    <numFmt numFmtId="43" formatCode="_-* #,##0.00_-;\-* #,##0.00_-;_-* &quot;-&quot;??_-;_-@_-"/>
    <numFmt numFmtId="164" formatCode="_(* #,##0.00_);_(* \(#,##0.00\);_(* &quot;-&quot;??_);_(@_)"/>
    <numFmt numFmtId="165" formatCode="&quot;THB&quot;#,##0.00_);[Red]\(&quot;THB&quot;#,##0.00\)"/>
    <numFmt numFmtId="166" formatCode="_(* #,##0_);_(* \(#,##0\);_(* &quot;-&quot;??_);_(@_)"/>
    <numFmt numFmtId="167" formatCode="#,##0.000"/>
    <numFmt numFmtId="168" formatCode="@_)"/>
    <numFmt numFmtId="169" formatCode="#,##0_);[Red]\-#,##0_)"/>
    <numFmt numFmtId="170" formatCode="0.00000"/>
    <numFmt numFmtId="171" formatCode="#,##0.0"/>
    <numFmt numFmtId="172" formatCode="_-* #,##0_-;\-* #,##0_-;_-* &quot;-&quot;??_-;_-@_-"/>
    <numFmt numFmtId="173" formatCode="#,##0.00_ ;[Red]\-#,##0.00\ "/>
  </numFmts>
  <fonts count="36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202124"/>
      <name val="Arial"/>
      <family val="2"/>
    </font>
    <font>
      <b/>
      <sz val="14"/>
      <color theme="6" tint="-0.249977111117893"/>
      <name val="Calibri (Body)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0000"/>
      <name val="Helvetica Neue"/>
      <family val="2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59595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4"/>
      <color rgb="FF595959"/>
      <name val="Calibri"/>
      <family val="2"/>
      <scheme val="minor"/>
    </font>
    <font>
      <sz val="18"/>
      <color rgb="FF332834"/>
      <name val="Calibri"/>
      <family val="2"/>
      <scheme val="minor"/>
    </font>
    <font>
      <sz val="18"/>
      <color rgb="FF595959"/>
      <name val="Calibri"/>
      <family val="2"/>
      <scheme val="minor"/>
    </font>
    <font>
      <sz val="18"/>
      <color rgb="FFD9D9D9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8"/>
      <color rgb="FF40404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36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9C5700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rgb="FF00000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medium">
        <color rgb="FF44BBA0"/>
      </bottom>
      <diagonal/>
    </border>
    <border>
      <left style="dashed">
        <color rgb="FF808080"/>
      </left>
      <right style="dashed">
        <color rgb="FF808080"/>
      </right>
      <top style="dashed">
        <color rgb="FF808080"/>
      </top>
      <bottom style="dashed">
        <color rgb="FF808080"/>
      </bottom>
      <diagonal/>
    </border>
    <border>
      <left/>
      <right/>
      <top/>
      <bottom style="medium">
        <color rgb="FFE06B6B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2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8" fillId="8" borderId="0" applyNumberFormat="0" applyBorder="0" applyAlignment="0" applyProtection="0"/>
    <xf numFmtId="0" fontId="29" fillId="9" borderId="0" applyNumberFormat="0" applyBorder="0" applyAlignment="0" applyProtection="0"/>
  </cellStyleXfs>
  <cellXfs count="138">
    <xf numFmtId="0" fontId="0" fillId="0" borderId="0" xfId="0"/>
    <xf numFmtId="0" fontId="4" fillId="0" borderId="0" xfId="0" applyFont="1"/>
    <xf numFmtId="0" fontId="6" fillId="3" borderId="0" xfId="0" applyFont="1" applyFill="1" applyAlignment="1">
      <alignment horizontal="centerContinuous"/>
    </xf>
    <xf numFmtId="0" fontId="3" fillId="3" borderId="0" xfId="0" applyFont="1" applyFill="1" applyAlignment="1">
      <alignment horizontal="centerContinuous"/>
    </xf>
    <xf numFmtId="0" fontId="6" fillId="3" borderId="4" xfId="0" applyFont="1" applyFill="1" applyBorder="1"/>
    <xf numFmtId="164" fontId="6" fillId="3" borderId="4" xfId="0" quotePrefix="1" applyNumberFormat="1" applyFont="1" applyFill="1" applyBorder="1"/>
    <xf numFmtId="0" fontId="6" fillId="3" borderId="3" xfId="0" applyFont="1" applyFill="1" applyBorder="1"/>
    <xf numFmtId="166" fontId="6" fillId="3" borderId="3" xfId="1" quotePrefix="1" applyNumberFormat="1" applyFont="1" applyFill="1" applyBorder="1"/>
    <xf numFmtId="0" fontId="6" fillId="3" borderId="5" xfId="0" applyFont="1" applyFill="1" applyBorder="1"/>
    <xf numFmtId="9" fontId="6" fillId="3" borderId="5" xfId="0" quotePrefix="1" applyNumberFormat="1" applyFont="1" applyFill="1" applyBorder="1"/>
    <xf numFmtId="0" fontId="6" fillId="3" borderId="0" xfId="0" applyFont="1" applyFill="1"/>
    <xf numFmtId="9" fontId="7" fillId="3" borderId="0" xfId="0" applyNumberFormat="1" applyFont="1" applyFill="1"/>
    <xf numFmtId="0" fontId="6" fillId="0" borderId="5" xfId="0" applyFont="1" applyBorder="1"/>
    <xf numFmtId="166" fontId="6" fillId="0" borderId="5" xfId="1" quotePrefix="1" applyNumberFormat="1" applyFont="1" applyFill="1" applyBorder="1"/>
    <xf numFmtId="0" fontId="6" fillId="0" borderId="4" xfId="0" applyFont="1" applyBorder="1"/>
    <xf numFmtId="164" fontId="6" fillId="0" borderId="4" xfId="0" quotePrefix="1" applyNumberFormat="1" applyFont="1" applyBorder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6" fillId="4" borderId="0" xfId="0" applyFont="1" applyFill="1" applyAlignment="1">
      <alignment horizontal="left"/>
    </xf>
    <xf numFmtId="0" fontId="6" fillId="4" borderId="0" xfId="0" applyFont="1" applyFill="1" applyAlignment="1">
      <alignment horizontal="center"/>
    </xf>
    <xf numFmtId="0" fontId="8" fillId="0" borderId="0" xfId="0" applyFont="1"/>
    <xf numFmtId="166" fontId="9" fillId="0" borderId="0" xfId="1" applyNumberFormat="1" applyFont="1"/>
    <xf numFmtId="0" fontId="0" fillId="5" borderId="0" xfId="0" applyFill="1"/>
    <xf numFmtId="166" fontId="9" fillId="5" borderId="0" xfId="1" applyNumberFormat="1" applyFont="1" applyFill="1" applyBorder="1"/>
    <xf numFmtId="166" fontId="9" fillId="5" borderId="0" xfId="1" applyNumberFormat="1" applyFont="1" applyFill="1"/>
    <xf numFmtId="166" fontId="9" fillId="0" borderId="1" xfId="1" applyNumberFormat="1" applyFont="1" applyBorder="1"/>
    <xf numFmtId="166" fontId="8" fillId="2" borderId="1" xfId="1" applyNumberFormat="1" applyFont="1" applyFill="1" applyBorder="1"/>
    <xf numFmtId="9" fontId="9" fillId="5" borderId="0" xfId="0" applyNumberFormat="1" applyFont="1" applyFill="1"/>
    <xf numFmtId="166" fontId="10" fillId="0" borderId="1" xfId="1" applyNumberFormat="1" applyFont="1" applyBorder="1"/>
    <xf numFmtId="166" fontId="8" fillId="6" borderId="2" xfId="1" applyNumberFormat="1" applyFont="1" applyFill="1" applyBorder="1"/>
    <xf numFmtId="0" fontId="10" fillId="0" borderId="0" xfId="0" applyFont="1"/>
    <xf numFmtId="0" fontId="11" fillId="0" borderId="0" xfId="0" applyFont="1"/>
    <xf numFmtId="0" fontId="9" fillId="5" borderId="3" xfId="0" applyFont="1" applyFill="1" applyBorder="1"/>
    <xf numFmtId="9" fontId="9" fillId="5" borderId="3" xfId="0" applyNumberFormat="1" applyFont="1" applyFill="1" applyBorder="1"/>
    <xf numFmtId="166" fontId="9" fillId="5" borderId="0" xfId="1" applyNumberFormat="1" applyFont="1" applyFill="1" applyBorder="1" applyAlignment="1"/>
    <xf numFmtId="0" fontId="1" fillId="0" borderId="0" xfId="0" applyFont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3" fontId="15" fillId="0" borderId="0" xfId="0" applyNumberFormat="1" applyFont="1" applyAlignment="1">
      <alignment horizontal="center"/>
    </xf>
    <xf numFmtId="0" fontId="18" fillId="0" borderId="0" xfId="0" applyFont="1"/>
    <xf numFmtId="0" fontId="16" fillId="0" borderId="0" xfId="0" applyFont="1"/>
    <xf numFmtId="3" fontId="16" fillId="0" borderId="0" xfId="0" applyNumberFormat="1" applyFont="1" applyAlignment="1">
      <alignment horizontal="center" vertical="center"/>
    </xf>
    <xf numFmtId="166" fontId="15" fillId="0" borderId="0" xfId="1" applyNumberFormat="1" applyFont="1"/>
    <xf numFmtId="167" fontId="1" fillId="0" borderId="0" xfId="0" applyNumberFormat="1" applyFont="1"/>
    <xf numFmtId="0" fontId="14" fillId="0" borderId="0" xfId="0" applyFont="1" applyAlignment="1">
      <alignment horizontal="right"/>
    </xf>
    <xf numFmtId="167" fontId="14" fillId="0" borderId="0" xfId="0" applyNumberFormat="1" applyFont="1" applyAlignment="1">
      <alignment horizontal="right"/>
    </xf>
    <xf numFmtId="2" fontId="14" fillId="0" borderId="0" xfId="0" applyNumberFormat="1" applyFont="1"/>
    <xf numFmtId="167" fontId="14" fillId="0" borderId="0" xfId="0" applyNumberFormat="1" applyFont="1"/>
    <xf numFmtId="0" fontId="19" fillId="0" borderId="0" xfId="0" applyFont="1"/>
    <xf numFmtId="0" fontId="21" fillId="0" borderId="0" xfId="0" applyFont="1" applyAlignment="1">
      <alignment horizontal="center"/>
    </xf>
    <xf numFmtId="168" fontId="22" fillId="0" borderId="6" xfId="0" applyNumberFormat="1" applyFont="1" applyBorder="1" applyAlignment="1">
      <alignment horizontal="right"/>
    </xf>
    <xf numFmtId="0" fontId="23" fillId="0" borderId="0" xfId="0" applyFont="1"/>
    <xf numFmtId="169" fontId="23" fillId="0" borderId="0" xfId="0" applyNumberFormat="1" applyFont="1"/>
    <xf numFmtId="0" fontId="24" fillId="0" borderId="0" xfId="0" applyFont="1"/>
    <xf numFmtId="49" fontId="23" fillId="0" borderId="0" xfId="0" applyNumberFormat="1" applyFont="1"/>
    <xf numFmtId="49" fontId="25" fillId="0" borderId="0" xfId="4" applyNumberFormat="1" applyFont="1"/>
    <xf numFmtId="9" fontId="26" fillId="7" borderId="7" xfId="0" applyNumberFormat="1" applyFont="1" applyFill="1" applyBorder="1"/>
    <xf numFmtId="168" fontId="22" fillId="0" borderId="8" xfId="0" applyNumberFormat="1" applyFont="1" applyBorder="1" applyAlignment="1">
      <alignment horizontal="right"/>
    </xf>
    <xf numFmtId="0" fontId="13" fillId="0" borderId="0" xfId="0" applyFont="1"/>
    <xf numFmtId="0" fontId="27" fillId="0" borderId="0" xfId="0" applyFont="1"/>
    <xf numFmtId="0" fontId="27" fillId="0" borderId="0" xfId="0" applyFont="1" applyAlignment="1">
      <alignment horizontal="center"/>
    </xf>
    <xf numFmtId="170" fontId="15" fillId="0" borderId="0" xfId="0" applyNumberFormat="1" applyFont="1" applyAlignment="1">
      <alignment horizontal="center"/>
    </xf>
    <xf numFmtId="9" fontId="13" fillId="6" borderId="0" xfId="0" applyNumberFormat="1" applyFont="1" applyFill="1"/>
    <xf numFmtId="166" fontId="17" fillId="6" borderId="0" xfId="1" applyNumberFormat="1" applyFont="1" applyFill="1"/>
    <xf numFmtId="171" fontId="14" fillId="0" borderId="0" xfId="0" applyNumberFormat="1" applyFont="1" applyAlignment="1">
      <alignment horizontal="right"/>
    </xf>
    <xf numFmtId="165" fontId="14" fillId="0" borderId="0" xfId="0" applyNumberFormat="1" applyFont="1"/>
    <xf numFmtId="166" fontId="15" fillId="0" borderId="0" xfId="0" applyNumberFormat="1" applyFont="1"/>
    <xf numFmtId="0" fontId="9" fillId="6" borderId="0" xfId="0" applyFont="1" applyFill="1" applyAlignment="1">
      <alignment horizontal="center"/>
    </xf>
    <xf numFmtId="49" fontId="23" fillId="6" borderId="0" xfId="0" applyNumberFormat="1" applyFont="1" applyFill="1"/>
    <xf numFmtId="0" fontId="23" fillId="6" borderId="0" xfId="0" applyFont="1" applyFill="1"/>
    <xf numFmtId="0" fontId="30" fillId="0" borderId="0" xfId="0" applyFont="1"/>
    <xf numFmtId="0" fontId="28" fillId="8" borderId="0" xfId="5"/>
    <xf numFmtId="0" fontId="0" fillId="10" borderId="0" xfId="0" applyFill="1"/>
    <xf numFmtId="0" fontId="0" fillId="11" borderId="0" xfId="0" applyFill="1" applyAlignment="1">
      <alignment horizontal="center"/>
    </xf>
    <xf numFmtId="0" fontId="0" fillId="0" borderId="0" xfId="0" applyAlignment="1">
      <alignment horizontal="center"/>
    </xf>
    <xf numFmtId="172" fontId="0" fillId="12" borderId="0" xfId="1" applyNumberFormat="1" applyFont="1" applyFill="1"/>
    <xf numFmtId="0" fontId="0" fillId="10" borderId="0" xfId="0" applyFill="1" applyAlignment="1">
      <alignment horizontal="right"/>
    </xf>
    <xf numFmtId="43" fontId="0" fillId="13" borderId="9" xfId="0" applyNumberFormat="1" applyFill="1" applyBorder="1"/>
    <xf numFmtId="10" fontId="0" fillId="11" borderId="10" xfId="0" applyNumberFormat="1" applyFill="1" applyBorder="1"/>
    <xf numFmtId="10" fontId="0" fillId="11" borderId="11" xfId="0" applyNumberFormat="1" applyFill="1" applyBorder="1"/>
    <xf numFmtId="10" fontId="0" fillId="12" borderId="0" xfId="0" applyNumberFormat="1" applyFill="1"/>
    <xf numFmtId="0" fontId="0" fillId="10" borderId="12" xfId="0" applyFill="1" applyBorder="1" applyAlignment="1">
      <alignment horizontal="center"/>
    </xf>
    <xf numFmtId="172" fontId="0" fillId="0" borderId="0" xfId="1" applyNumberFormat="1" applyFont="1" applyBorder="1"/>
    <xf numFmtId="172" fontId="0" fillId="0" borderId="13" xfId="1" applyNumberFormat="1" applyFont="1" applyBorder="1"/>
    <xf numFmtId="0" fontId="0" fillId="12" borderId="0" xfId="0" applyFill="1"/>
    <xf numFmtId="172" fontId="0" fillId="10" borderId="0" xfId="1" applyNumberFormat="1" applyFont="1" applyFill="1" applyBorder="1"/>
    <xf numFmtId="0" fontId="0" fillId="10" borderId="14" xfId="0" applyFill="1" applyBorder="1" applyAlignment="1">
      <alignment horizontal="center"/>
    </xf>
    <xf numFmtId="172" fontId="0" fillId="0" borderId="15" xfId="1" applyNumberFormat="1" applyFont="1" applyBorder="1"/>
    <xf numFmtId="172" fontId="0" fillId="0" borderId="16" xfId="1" applyNumberFormat="1" applyFont="1" applyBorder="1"/>
    <xf numFmtId="0" fontId="0" fillId="0" borderId="0" xfId="0" applyAlignment="1">
      <alignment horizontal="right"/>
    </xf>
    <xf numFmtId="0" fontId="31" fillId="0" borderId="0" xfId="0" applyFont="1"/>
    <xf numFmtId="43" fontId="0" fillId="0" borderId="0" xfId="0" applyNumberFormat="1"/>
    <xf numFmtId="0" fontId="32" fillId="0" borderId="0" xfId="0" applyFont="1"/>
    <xf numFmtId="10" fontId="0" fillId="0" borderId="0" xfId="0" applyNumberFormat="1"/>
    <xf numFmtId="8" fontId="0" fillId="13" borderId="9" xfId="0" applyNumberFormat="1" applyFill="1" applyBorder="1"/>
    <xf numFmtId="8" fontId="0" fillId="0" borderId="0" xfId="0" applyNumberFormat="1"/>
    <xf numFmtId="172" fontId="0" fillId="14" borderId="0" xfId="1" applyNumberFormat="1" applyFont="1" applyFill="1" applyBorder="1"/>
    <xf numFmtId="0" fontId="4" fillId="0" borderId="0" xfId="0" applyFont="1" applyAlignment="1">
      <alignment horizontal="right"/>
    </xf>
    <xf numFmtId="10" fontId="0" fillId="15" borderId="0" xfId="0" applyNumberFormat="1" applyFill="1"/>
    <xf numFmtId="0" fontId="4" fillId="0" borderId="0" xfId="0" quotePrefix="1" applyFont="1"/>
    <xf numFmtId="172" fontId="0" fillId="15" borderId="0" xfId="1" applyNumberFormat="1" applyFont="1" applyFill="1"/>
    <xf numFmtId="172" fontId="0" fillId="0" borderId="0" xfId="0" applyNumberFormat="1"/>
    <xf numFmtId="43" fontId="4" fillId="0" borderId="0" xfId="0" applyNumberFormat="1" applyFont="1"/>
    <xf numFmtId="173" fontId="0" fillId="0" borderId="0" xfId="0" applyNumberFormat="1"/>
    <xf numFmtId="0" fontId="4" fillId="0" borderId="0" xfId="0" applyFont="1" applyAlignment="1">
      <alignment horizontal="center"/>
    </xf>
    <xf numFmtId="172" fontId="33" fillId="9" borderId="0" xfId="6" applyNumberFormat="1" applyFont="1"/>
    <xf numFmtId="3" fontId="35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3" fontId="35" fillId="0" borderId="0" xfId="0" applyNumberFormat="1" applyFont="1" applyAlignment="1">
      <alignment horizontal="right" wrapText="1"/>
    </xf>
    <xf numFmtId="3" fontId="35" fillId="0" borderId="0" xfId="0" applyNumberFormat="1" applyFont="1" applyAlignment="1">
      <alignment horizontal="center" wrapText="1"/>
    </xf>
    <xf numFmtId="3" fontId="34" fillId="0" borderId="0" xfId="0" applyNumberFormat="1" applyFont="1" applyAlignment="1">
      <alignment horizontal="center" wrapText="1"/>
    </xf>
    <xf numFmtId="3" fontId="0" fillId="0" borderId="0" xfId="0" applyNumberFormat="1"/>
    <xf numFmtId="0" fontId="0" fillId="14" borderId="0" xfId="0" applyFill="1" applyAlignment="1">
      <alignment horizontal="center"/>
    </xf>
    <xf numFmtId="3" fontId="34" fillId="14" borderId="0" xfId="0" applyNumberFormat="1" applyFont="1" applyFill="1" applyAlignment="1">
      <alignment horizontal="center" wrapText="1"/>
    </xf>
    <xf numFmtId="172" fontId="0" fillId="14" borderId="0" xfId="0" applyNumberFormat="1" applyFill="1"/>
    <xf numFmtId="173" fontId="0" fillId="14" borderId="0" xfId="0" applyNumberFormat="1" applyFill="1"/>
    <xf numFmtId="10" fontId="0" fillId="16" borderId="0" xfId="0" applyNumberFormat="1" applyFill="1" applyBorder="1"/>
    <xf numFmtId="10" fontId="0" fillId="0" borderId="0" xfId="0" applyNumberFormat="1" applyFill="1" applyBorder="1"/>
    <xf numFmtId="0" fontId="0" fillId="16" borderId="17" xfId="0" applyFill="1" applyBorder="1" applyAlignment="1">
      <alignment horizontal="center"/>
    </xf>
    <xf numFmtId="10" fontId="0" fillId="16" borderId="18" xfId="0" applyNumberFormat="1" applyFill="1" applyBorder="1"/>
    <xf numFmtId="3" fontId="34" fillId="16" borderId="18" xfId="0" applyNumberFormat="1" applyFont="1" applyFill="1" applyBorder="1" applyAlignment="1">
      <alignment horizontal="center" wrapText="1"/>
    </xf>
    <xf numFmtId="172" fontId="0" fillId="16" borderId="18" xfId="0" applyNumberFormat="1" applyFill="1" applyBorder="1"/>
    <xf numFmtId="173" fontId="0" fillId="16" borderId="18" xfId="0" applyNumberFormat="1" applyFill="1" applyBorder="1"/>
    <xf numFmtId="172" fontId="0" fillId="16" borderId="19" xfId="0" applyNumberFormat="1" applyFill="1" applyBorder="1"/>
    <xf numFmtId="0" fontId="0" fillId="16" borderId="20" xfId="0" applyFill="1" applyBorder="1" applyAlignment="1">
      <alignment horizontal="center"/>
    </xf>
    <xf numFmtId="3" fontId="34" fillId="16" borderId="0" xfId="0" applyNumberFormat="1" applyFont="1" applyFill="1" applyBorder="1" applyAlignment="1">
      <alignment horizontal="center" wrapText="1"/>
    </xf>
    <xf numFmtId="172" fontId="0" fillId="16" borderId="0" xfId="0" applyNumberFormat="1" applyFill="1" applyBorder="1"/>
    <xf numFmtId="173" fontId="0" fillId="16" borderId="0" xfId="0" applyNumberFormat="1" applyFill="1" applyBorder="1"/>
    <xf numFmtId="172" fontId="0" fillId="16" borderId="21" xfId="0" applyNumberFormat="1" applyFill="1" applyBorder="1"/>
    <xf numFmtId="0" fontId="0" fillId="16" borderId="22" xfId="0" applyFill="1" applyBorder="1" applyAlignment="1">
      <alignment horizontal="center"/>
    </xf>
    <xf numFmtId="10" fontId="0" fillId="16" borderId="23" xfId="0" applyNumberFormat="1" applyFill="1" applyBorder="1"/>
    <xf numFmtId="3" fontId="34" fillId="16" borderId="23" xfId="0" applyNumberFormat="1" applyFont="1" applyFill="1" applyBorder="1" applyAlignment="1">
      <alignment horizontal="center" wrapText="1"/>
    </xf>
    <xf numFmtId="172" fontId="0" fillId="16" borderId="23" xfId="0" applyNumberFormat="1" applyFill="1" applyBorder="1"/>
    <xf numFmtId="173" fontId="0" fillId="16" borderId="23" xfId="0" applyNumberFormat="1" applyFill="1" applyBorder="1"/>
    <xf numFmtId="172" fontId="0" fillId="16" borderId="24" xfId="0" applyNumberFormat="1" applyFill="1" applyBorder="1"/>
  </cellXfs>
  <cellStyles count="7">
    <cellStyle name="Bad" xfId="5" builtinId="27"/>
    <cellStyle name="Comma" xfId="1" builtinId="3"/>
    <cellStyle name="Comma 2" xfId="3" xr:uid="{00000000-0005-0000-0000-000001000000}"/>
    <cellStyle name="Hyperlink" xfId="4" builtinId="8"/>
    <cellStyle name="Neutral" xfId="6" builtinId="28"/>
    <cellStyle name="Normal" xfId="0" builtinId="0"/>
    <cellStyle name="Normal 2 2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=@INDEX($C$15:$C$22,G15+1)" TargetMode="External"/><Relationship Id="rId2" Type="http://schemas.openxmlformats.org/officeDocument/2006/relationships/hyperlink" Target="mailto:=@INDEX($D$4:$D$11,G4)" TargetMode="External"/><Relationship Id="rId1" Type="http://schemas.openxmlformats.org/officeDocument/2006/relationships/hyperlink" Target="mailto:=@INDEX($C$4:$C$11,G4+1)" TargetMode="External"/><Relationship Id="rId4" Type="http://schemas.openxmlformats.org/officeDocument/2006/relationships/hyperlink" Target="mailto:=@INDEX($D$15:$D$22,G15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86B5F-9EEB-9844-B1E8-4592FA7F0401}">
  <sheetPr>
    <tabColor rgb="FFFF0000"/>
  </sheetPr>
  <dimension ref="A1:L29"/>
  <sheetViews>
    <sheetView showGridLines="0" zoomScale="130" zoomScaleNormal="130" workbookViewId="0">
      <selection activeCell="B30" sqref="B30"/>
    </sheetView>
  </sheetViews>
  <sheetFormatPr defaultColWidth="8.81640625" defaultRowHeight="14.5"/>
  <cols>
    <col min="1" max="1" width="38.6328125" bestFit="1" customWidth="1"/>
    <col min="2" max="12" width="11.1796875" customWidth="1"/>
  </cols>
  <sheetData>
    <row r="1" spans="1:12" ht="18.5">
      <c r="A1" s="2" t="s">
        <v>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8.5">
      <c r="A2" s="32" t="s">
        <v>59</v>
      </c>
      <c r="C2" s="24"/>
    </row>
    <row r="3" spans="1:12" ht="4" customHeight="1"/>
    <row r="4" spans="1:12" ht="19" thickBot="1">
      <c r="A4" s="16" t="s">
        <v>26</v>
      </c>
      <c r="B4" s="17" t="s">
        <v>27</v>
      </c>
      <c r="C4" s="16" t="s">
        <v>28</v>
      </c>
      <c r="D4" s="18"/>
      <c r="E4" s="18"/>
      <c r="F4" s="18"/>
      <c r="G4" s="22" t="s">
        <v>44</v>
      </c>
      <c r="H4" s="18"/>
      <c r="I4" s="18"/>
      <c r="J4" s="18"/>
      <c r="K4" s="18"/>
      <c r="L4" s="18"/>
    </row>
    <row r="5" spans="1:12" ht="19.5" thickTop="1" thickBot="1">
      <c r="A5" s="18" t="s">
        <v>23</v>
      </c>
      <c r="B5" s="19" t="s">
        <v>45</v>
      </c>
      <c r="C5" s="34">
        <v>10</v>
      </c>
      <c r="D5" s="18"/>
      <c r="E5" s="18" t="s">
        <v>41</v>
      </c>
      <c r="G5" s="29">
        <v>0.1</v>
      </c>
      <c r="H5" s="18"/>
      <c r="I5" s="18"/>
      <c r="J5" s="18"/>
      <c r="K5" s="18"/>
      <c r="L5" s="18"/>
    </row>
    <row r="6" spans="1:12" ht="19.5" thickTop="1" thickBot="1">
      <c r="A6" s="18" t="s">
        <v>36</v>
      </c>
      <c r="B6" s="19" t="s">
        <v>25</v>
      </c>
      <c r="C6" s="35">
        <v>0.1</v>
      </c>
      <c r="D6" s="18"/>
      <c r="E6" s="18" t="s">
        <v>42</v>
      </c>
      <c r="G6" s="29">
        <v>0.05</v>
      </c>
      <c r="H6" s="18"/>
      <c r="I6" s="18"/>
      <c r="J6" s="18"/>
      <c r="K6" s="18"/>
      <c r="L6" s="18"/>
    </row>
    <row r="7" spans="1:12" ht="19.5" thickTop="1" thickBot="1">
      <c r="A7" s="18" t="s">
        <v>24</v>
      </c>
      <c r="B7" s="19" t="s">
        <v>25</v>
      </c>
      <c r="C7" s="35">
        <v>0.3</v>
      </c>
      <c r="D7" s="18"/>
      <c r="E7" s="18"/>
      <c r="F7" s="18"/>
      <c r="G7" s="18"/>
      <c r="H7" s="18"/>
      <c r="I7" s="18"/>
      <c r="J7" s="18"/>
      <c r="K7" s="18"/>
      <c r="L7" s="18"/>
    </row>
    <row r="8" spans="1:12" ht="19" thickTop="1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2" s="1" customFormat="1" ht="18.5">
      <c r="A9" s="20" t="s">
        <v>19</v>
      </c>
      <c r="B9" s="21" t="s">
        <v>4</v>
      </c>
      <c r="C9" s="21" t="s">
        <v>5</v>
      </c>
      <c r="D9" s="21" t="s">
        <v>6</v>
      </c>
      <c r="E9" s="21" t="s">
        <v>7</v>
      </c>
      <c r="F9" s="21" t="s">
        <v>8</v>
      </c>
      <c r="G9" s="21" t="s">
        <v>9</v>
      </c>
      <c r="H9" s="21" t="s">
        <v>10</v>
      </c>
      <c r="I9" s="21" t="s">
        <v>11</v>
      </c>
      <c r="J9" s="21" t="s">
        <v>20</v>
      </c>
      <c r="K9" s="21" t="s">
        <v>21</v>
      </c>
      <c r="L9" s="21" t="s">
        <v>22</v>
      </c>
    </row>
    <row r="10" spans="1:12" ht="18.5">
      <c r="A10" s="18" t="s">
        <v>51</v>
      </c>
      <c r="B10" s="26">
        <v>1000</v>
      </c>
      <c r="C10" s="26">
        <v>500</v>
      </c>
      <c r="D10" s="25">
        <v>300</v>
      </c>
      <c r="E10" s="26">
        <v>100</v>
      </c>
      <c r="F10" s="26"/>
      <c r="G10" s="26"/>
      <c r="H10" s="26"/>
      <c r="I10" s="26"/>
      <c r="J10" s="26"/>
      <c r="K10" s="26"/>
      <c r="L10" s="26"/>
    </row>
    <row r="11" spans="1:12" ht="18.5">
      <c r="A11" s="18" t="s">
        <v>52</v>
      </c>
      <c r="B11" s="26"/>
      <c r="C11" s="26">
        <v>400</v>
      </c>
      <c r="D11" s="26">
        <v>550</v>
      </c>
      <c r="E11" s="26">
        <v>700</v>
      </c>
      <c r="F11" s="26">
        <v>800</v>
      </c>
      <c r="G11" s="26">
        <v>1000</v>
      </c>
      <c r="H11" s="26">
        <v>1000</v>
      </c>
      <c r="I11" s="26">
        <v>1000</v>
      </c>
      <c r="J11" s="26">
        <v>1000</v>
      </c>
      <c r="K11" s="26">
        <v>1000</v>
      </c>
      <c r="L11" s="26">
        <v>1000</v>
      </c>
    </row>
    <row r="12" spans="1:12" ht="18.5">
      <c r="A12" s="18" t="s">
        <v>53</v>
      </c>
      <c r="B12" s="26"/>
      <c r="C12" s="26">
        <v>200</v>
      </c>
      <c r="D12" s="26">
        <v>220</v>
      </c>
      <c r="E12" s="26">
        <v>240</v>
      </c>
      <c r="F12" s="26">
        <v>250</v>
      </c>
      <c r="G12" s="26">
        <v>300</v>
      </c>
      <c r="H12" s="26">
        <v>300</v>
      </c>
      <c r="I12" s="26">
        <v>300</v>
      </c>
      <c r="J12" s="26">
        <v>300</v>
      </c>
      <c r="K12" s="26">
        <v>300</v>
      </c>
      <c r="L12" s="26">
        <v>300</v>
      </c>
    </row>
    <row r="13" spans="1:12" ht="18.5">
      <c r="A13" s="18" t="s">
        <v>54</v>
      </c>
      <c r="B13" s="23"/>
      <c r="C13" s="23">
        <f>SUM($B10:C10)/$C$5</f>
        <v>150</v>
      </c>
      <c r="D13" s="23">
        <f>SUM($B10:D10)/$C$5</f>
        <v>180</v>
      </c>
      <c r="E13" s="23">
        <f>SUM($B10:E10)/$C$5</f>
        <v>190</v>
      </c>
      <c r="F13" s="23">
        <f>SUM($B10:F10)/$C$5</f>
        <v>190</v>
      </c>
      <c r="G13" s="23">
        <f>SUM($B10:G10)/$C$5</f>
        <v>190</v>
      </c>
      <c r="H13" s="23">
        <f>SUM($B10:H10)/$C$5</f>
        <v>190</v>
      </c>
      <c r="I13" s="23">
        <f>SUM($B10:I10)/$C$5</f>
        <v>190</v>
      </c>
      <c r="J13" s="23">
        <f>SUM($B10:J10)/$C$5</f>
        <v>190</v>
      </c>
      <c r="K13" s="23">
        <f>SUM($B10:K10)/$C$5</f>
        <v>190</v>
      </c>
      <c r="L13" s="23">
        <f>SUM($B10:L10)/$C$5</f>
        <v>190</v>
      </c>
    </row>
    <row r="14" spans="1:12" ht="18.5">
      <c r="A14" s="22" t="s">
        <v>49</v>
      </c>
      <c r="B14" s="27"/>
      <c r="C14" s="27">
        <f>C11-C12-C13</f>
        <v>50</v>
      </c>
      <c r="D14" s="27">
        <f t="shared" ref="D14:L14" si="0">D11-D12-D13</f>
        <v>150</v>
      </c>
      <c r="E14" s="27">
        <f t="shared" si="0"/>
        <v>270</v>
      </c>
      <c r="F14" s="27">
        <f t="shared" si="0"/>
        <v>360</v>
      </c>
      <c r="G14" s="27">
        <f t="shared" si="0"/>
        <v>510</v>
      </c>
      <c r="H14" s="27">
        <f t="shared" si="0"/>
        <v>510</v>
      </c>
      <c r="I14" s="27">
        <f t="shared" si="0"/>
        <v>510</v>
      </c>
      <c r="J14" s="27">
        <f t="shared" si="0"/>
        <v>510</v>
      </c>
      <c r="K14" s="27">
        <f t="shared" si="0"/>
        <v>510</v>
      </c>
      <c r="L14" s="27">
        <f t="shared" si="0"/>
        <v>510</v>
      </c>
    </row>
    <row r="15" spans="1:12" ht="18.5">
      <c r="A15" s="18" t="s">
        <v>50</v>
      </c>
      <c r="B15" s="26"/>
      <c r="C15" s="26">
        <v>30</v>
      </c>
      <c r="D15" s="26">
        <v>40</v>
      </c>
      <c r="E15" s="26">
        <v>50</v>
      </c>
      <c r="F15" s="26">
        <v>60</v>
      </c>
      <c r="G15" s="26">
        <v>60</v>
      </c>
      <c r="H15" s="26">
        <v>60</v>
      </c>
      <c r="I15" s="26">
        <v>60</v>
      </c>
      <c r="J15" s="26">
        <v>60</v>
      </c>
      <c r="K15" s="26">
        <v>60</v>
      </c>
      <c r="L15" s="26">
        <v>60</v>
      </c>
    </row>
    <row r="16" spans="1:12" ht="18.5">
      <c r="A16" s="18" t="s">
        <v>55</v>
      </c>
      <c r="B16" s="26"/>
      <c r="C16" s="26">
        <v>40</v>
      </c>
      <c r="D16" s="26">
        <v>30</v>
      </c>
      <c r="E16" s="26"/>
      <c r="F16" s="26"/>
      <c r="G16" s="26"/>
      <c r="H16" s="26"/>
      <c r="I16" s="26"/>
      <c r="J16" s="26"/>
      <c r="K16" s="26"/>
      <c r="L16" s="26"/>
    </row>
    <row r="17" spans="1:12" ht="18.5">
      <c r="A17" s="22" t="s">
        <v>58</v>
      </c>
      <c r="B17" s="27"/>
      <c r="C17" s="27">
        <f>C14-C15-C16</f>
        <v>-20</v>
      </c>
      <c r="D17" s="27">
        <f t="shared" ref="D17:L17" si="1">D14-D15-D16</f>
        <v>80</v>
      </c>
      <c r="E17" s="27">
        <f t="shared" si="1"/>
        <v>220</v>
      </c>
      <c r="F17" s="27">
        <f t="shared" si="1"/>
        <v>300</v>
      </c>
      <c r="G17" s="27">
        <f t="shared" si="1"/>
        <v>450</v>
      </c>
      <c r="H17" s="27">
        <f t="shared" si="1"/>
        <v>450</v>
      </c>
      <c r="I17" s="27">
        <f t="shared" si="1"/>
        <v>450</v>
      </c>
      <c r="J17" s="27">
        <f t="shared" si="1"/>
        <v>450</v>
      </c>
      <c r="K17" s="27">
        <f t="shared" si="1"/>
        <v>450</v>
      </c>
      <c r="L17" s="27">
        <f t="shared" si="1"/>
        <v>450</v>
      </c>
    </row>
    <row r="18" spans="1:12" ht="18.5">
      <c r="A18" s="18" t="s">
        <v>56</v>
      </c>
      <c r="B18" s="23"/>
      <c r="C18" s="23">
        <f>C17*$C$7</f>
        <v>-6</v>
      </c>
      <c r="D18" s="23">
        <f t="shared" ref="D18:L18" si="2">D17*$C$7</f>
        <v>24</v>
      </c>
      <c r="E18" s="23">
        <f t="shared" si="2"/>
        <v>66</v>
      </c>
      <c r="F18" s="23">
        <f t="shared" si="2"/>
        <v>90</v>
      </c>
      <c r="G18" s="23">
        <f t="shared" si="2"/>
        <v>135</v>
      </c>
      <c r="H18" s="23">
        <f t="shared" si="2"/>
        <v>135</v>
      </c>
      <c r="I18" s="23">
        <f t="shared" si="2"/>
        <v>135</v>
      </c>
      <c r="J18" s="23">
        <f t="shared" si="2"/>
        <v>135</v>
      </c>
      <c r="K18" s="23">
        <f t="shared" si="2"/>
        <v>135</v>
      </c>
      <c r="L18" s="23">
        <f t="shared" si="2"/>
        <v>135</v>
      </c>
    </row>
    <row r="19" spans="1:12" s="1" customFormat="1" ht="18.5">
      <c r="A19" s="22" t="s">
        <v>57</v>
      </c>
      <c r="B19" s="28"/>
      <c r="C19" s="28">
        <f>C17-C18</f>
        <v>-14</v>
      </c>
      <c r="D19" s="28">
        <f t="shared" ref="D19:L19" si="3">D17-D18</f>
        <v>56</v>
      </c>
      <c r="E19" s="28">
        <f t="shared" si="3"/>
        <v>154</v>
      </c>
      <c r="F19" s="28">
        <f t="shared" si="3"/>
        <v>210</v>
      </c>
      <c r="G19" s="28">
        <f t="shared" si="3"/>
        <v>315</v>
      </c>
      <c r="H19" s="28">
        <f t="shared" si="3"/>
        <v>315</v>
      </c>
      <c r="I19" s="28">
        <f t="shared" si="3"/>
        <v>315</v>
      </c>
      <c r="J19" s="28">
        <f t="shared" si="3"/>
        <v>315</v>
      </c>
      <c r="K19" s="28">
        <f t="shared" si="3"/>
        <v>315</v>
      </c>
      <c r="L19" s="28">
        <f t="shared" si="3"/>
        <v>315</v>
      </c>
    </row>
    <row r="20" spans="1:12" s="1" customFormat="1" ht="18.5">
      <c r="A20" s="22" t="s">
        <v>1</v>
      </c>
      <c r="B20" s="30">
        <f>B19+B13+B16-B10</f>
        <v>-1000</v>
      </c>
      <c r="C20" s="30">
        <f>C19+C13+C16-C10</f>
        <v>-324</v>
      </c>
      <c r="D20" s="30">
        <f>D19+D13+D16-D10</f>
        <v>-34</v>
      </c>
      <c r="E20" s="30">
        <f t="shared" ref="E20:L20" si="4">E19+E13+E16-E10</f>
        <v>244</v>
      </c>
      <c r="F20" s="30">
        <f t="shared" si="4"/>
        <v>400</v>
      </c>
      <c r="G20" s="30">
        <f t="shared" si="4"/>
        <v>505</v>
      </c>
      <c r="H20" s="30">
        <f t="shared" si="4"/>
        <v>505</v>
      </c>
      <c r="I20" s="30">
        <f t="shared" si="4"/>
        <v>505</v>
      </c>
      <c r="J20" s="30">
        <f t="shared" si="4"/>
        <v>505</v>
      </c>
      <c r="K20" s="30">
        <f t="shared" si="4"/>
        <v>505</v>
      </c>
      <c r="L20" s="30">
        <f t="shared" si="4"/>
        <v>505</v>
      </c>
    </row>
    <row r="21" spans="1:12" s="1" customFormat="1" ht="19" thickBot="1">
      <c r="A21" s="22" t="s">
        <v>38</v>
      </c>
      <c r="B21" s="31">
        <f>SUM($B20:B20)</f>
        <v>-1000</v>
      </c>
      <c r="C21" s="31">
        <f>SUM($B20:C20)</f>
        <v>-1324</v>
      </c>
      <c r="D21" s="31">
        <f>SUM($B20:D20)</f>
        <v>-1358</v>
      </c>
      <c r="E21" s="31">
        <f>SUM($B20:E20)</f>
        <v>-1114</v>
      </c>
      <c r="F21" s="31">
        <f>SUM($B20:F20)</f>
        <v>-714</v>
      </c>
      <c r="G21" s="31">
        <f>SUM($B20:G20)</f>
        <v>-209</v>
      </c>
      <c r="H21" s="31">
        <f>SUM($B20:H20)</f>
        <v>296</v>
      </c>
      <c r="I21" s="31">
        <f>SUM($B20:I20)</f>
        <v>801</v>
      </c>
      <c r="J21" s="31">
        <f>SUM($B20:J20)</f>
        <v>1306</v>
      </c>
      <c r="K21" s="31">
        <f>SUM($B20:K20)</f>
        <v>1811</v>
      </c>
      <c r="L21" s="31">
        <f>SUM($B20:L20)</f>
        <v>2316</v>
      </c>
    </row>
    <row r="22" spans="1:12" ht="7" customHeight="1" thickTop="1"/>
    <row r="23" spans="1:12" ht="19" thickBot="1">
      <c r="A23" s="4" t="s">
        <v>39</v>
      </c>
      <c r="B23" s="5">
        <f>(MATCH(0,B21:L21)-1)+(0-INDEX(B21:L21,MATCH(0,B21:L21)))/(INDEX(B21:L21,MATCH(0,B21:L21)+1)-INDEX(B21:L21,MATCH(0,B21:L21)))</f>
        <v>5.4138613861386142</v>
      </c>
    </row>
    <row r="24" spans="1:12" ht="5" customHeight="1" thickTop="1" thickBot="1">
      <c r="A24" s="14"/>
      <c r="B24" s="15"/>
    </row>
    <row r="25" spans="1:12" ht="23" customHeight="1" thickTop="1" thickBot="1">
      <c r="A25" s="6" t="s">
        <v>32</v>
      </c>
      <c r="B25" s="7">
        <f>NPV(C6,C20:L20)+B20</f>
        <v>636.10590344131015</v>
      </c>
    </row>
    <row r="26" spans="1:12" ht="5" customHeight="1" thickTop="1" thickBot="1">
      <c r="A26" s="12"/>
      <c r="B26" s="13"/>
    </row>
    <row r="27" spans="1:12" ht="19" thickTop="1">
      <c r="A27" s="8" t="s">
        <v>33</v>
      </c>
      <c r="B27" s="9">
        <f>IRR(B20:L20,10%)</f>
        <v>0.17477215954979686</v>
      </c>
    </row>
    <row r="28" spans="1:12" ht="7" customHeight="1"/>
    <row r="29" spans="1:12" ht="21">
      <c r="A29" s="10" t="s">
        <v>40</v>
      </c>
      <c r="B29" s="11">
        <f>MIRR(B20:L20,G5,G6)</f>
        <v>0.12550411348261359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A4A5A-C0FD-6B43-9D6B-132BA9E928AB}">
  <dimension ref="A1:H16"/>
  <sheetViews>
    <sheetView zoomScale="120" zoomScaleNormal="120" workbookViewId="0">
      <selection activeCell="C3" sqref="C3:C8"/>
    </sheetView>
  </sheetViews>
  <sheetFormatPr defaultColWidth="10.90625" defaultRowHeight="15.5"/>
  <cols>
    <col min="2" max="2" width="10.453125" style="37" bestFit="1" customWidth="1"/>
    <col min="3" max="3" width="29.81640625" style="37" bestFit="1" customWidth="1"/>
    <col min="4" max="4" width="41" style="37" bestFit="1" customWidth="1"/>
    <col min="5" max="5" width="38.453125" style="37" bestFit="1" customWidth="1"/>
    <col min="6" max="6" width="19.81640625" style="37" bestFit="1" customWidth="1"/>
    <col min="7" max="7" width="28.1796875" customWidth="1"/>
  </cols>
  <sheetData>
    <row r="1" spans="1:8" s="62" customFormat="1" ht="31">
      <c r="C1" s="62" t="s">
        <v>85</v>
      </c>
      <c r="D1" s="63" t="s">
        <v>84</v>
      </c>
    </row>
    <row r="2" spans="1:8" ht="23.5">
      <c r="A2" s="38"/>
      <c r="B2" s="39" t="s">
        <v>60</v>
      </c>
      <c r="C2" s="39" t="s">
        <v>61</v>
      </c>
      <c r="D2" s="39" t="s">
        <v>62</v>
      </c>
      <c r="E2" s="39" t="s">
        <v>63</v>
      </c>
    </row>
    <row r="3" spans="1:8" ht="23.5">
      <c r="A3" s="38"/>
      <c r="B3" s="40">
        <v>0</v>
      </c>
      <c r="C3" s="45">
        <v>-20000</v>
      </c>
      <c r="D3" s="39">
        <f>1</f>
        <v>1</v>
      </c>
      <c r="E3" s="69">
        <f>C3*D3</f>
        <v>-20000</v>
      </c>
      <c r="G3" s="39" t="s">
        <v>67</v>
      </c>
      <c r="H3" s="66">
        <v>20000</v>
      </c>
    </row>
    <row r="4" spans="1:8" ht="23.5">
      <c r="A4" s="38"/>
      <c r="B4" s="40">
        <v>1</v>
      </c>
      <c r="C4" s="41">
        <v>5000</v>
      </c>
      <c r="D4" s="64">
        <f>1/(1+$H$4)^B4</f>
        <v>0.92592592592592582</v>
      </c>
      <c r="E4" s="41">
        <f>C4*D4</f>
        <v>4629.6296296296287</v>
      </c>
      <c r="G4" s="42" t="s">
        <v>41</v>
      </c>
      <c r="H4" s="65">
        <v>0.08</v>
      </c>
    </row>
    <row r="5" spans="1:8" ht="23.5">
      <c r="A5" s="38"/>
      <c r="B5" s="40">
        <v>2</v>
      </c>
      <c r="C5" s="41">
        <v>5000</v>
      </c>
      <c r="D5" s="64">
        <f t="shared" ref="D5:D8" si="0">1/(1+$H$4)^B5</f>
        <v>0.85733882030178321</v>
      </c>
      <c r="E5" s="41">
        <f t="shared" ref="E5:E8" si="1">C5*D5</f>
        <v>4286.694101508916</v>
      </c>
      <c r="G5" s="42" t="s">
        <v>66</v>
      </c>
      <c r="H5" s="65">
        <v>0.05</v>
      </c>
    </row>
    <row r="6" spans="1:8" ht="23.5">
      <c r="A6" s="38"/>
      <c r="B6" s="40">
        <v>3</v>
      </c>
      <c r="C6" s="41">
        <v>5000</v>
      </c>
      <c r="D6" s="64">
        <f t="shared" si="0"/>
        <v>0.79383224102016958</v>
      </c>
      <c r="E6" s="41">
        <f t="shared" si="1"/>
        <v>3969.1612051008478</v>
      </c>
    </row>
    <row r="7" spans="1:8" ht="23.5">
      <c r="A7" s="38"/>
      <c r="B7" s="40">
        <v>4</v>
      </c>
      <c r="C7" s="41">
        <v>5000</v>
      </c>
      <c r="D7" s="64">
        <f t="shared" si="0"/>
        <v>0.73502985279645328</v>
      </c>
      <c r="E7" s="41">
        <f t="shared" si="1"/>
        <v>3675.1492639822663</v>
      </c>
    </row>
    <row r="8" spans="1:8" ht="23.5">
      <c r="A8" s="38"/>
      <c r="B8" s="40">
        <v>5</v>
      </c>
      <c r="C8" s="41">
        <v>5000</v>
      </c>
      <c r="D8" s="64">
        <f t="shared" si="0"/>
        <v>0.68058319703375303</v>
      </c>
      <c r="E8" s="41">
        <f t="shared" si="1"/>
        <v>3402.915985168765</v>
      </c>
    </row>
    <row r="9" spans="1:8" ht="23.5">
      <c r="A9" s="38"/>
      <c r="B9" s="40"/>
      <c r="C9" s="41"/>
      <c r="D9" s="40"/>
      <c r="E9" s="41"/>
    </row>
    <row r="10" spans="1:8" ht="26">
      <c r="B10" s="43"/>
      <c r="C10" s="44"/>
      <c r="D10" s="47" t="s">
        <v>64</v>
      </c>
      <c r="E10" s="67">
        <f>SUM(E4:E8)</f>
        <v>19963.550185390428</v>
      </c>
      <c r="F10" s="38"/>
    </row>
    <row r="11" spans="1:8" ht="23.5">
      <c r="D11" s="47" t="s">
        <v>32</v>
      </c>
      <c r="E11" s="67">
        <f>E10-H3</f>
        <v>-36.449814609572059</v>
      </c>
      <c r="F11" s="68">
        <f>NPV(H4,C4:C8)+E3</f>
        <v>-36.449814609572059</v>
      </c>
      <c r="G11" s="68"/>
    </row>
    <row r="12" spans="1:8" ht="23.5">
      <c r="D12" s="47" t="s">
        <v>65</v>
      </c>
      <c r="E12" s="48">
        <f>MIRR(C3:C8,H4,H5)</f>
        <v>6.675424945430497E-2</v>
      </c>
      <c r="F12" s="49">
        <f>E12*100</f>
        <v>6.675424945430497</v>
      </c>
      <c r="G12" s="61" t="s">
        <v>86</v>
      </c>
    </row>
    <row r="13" spans="1:8" ht="23.5">
      <c r="D13" s="47" t="s">
        <v>33</v>
      </c>
      <c r="E13" s="50">
        <f>IRR(C3:C8,10%)</f>
        <v>7.9308261160397242E-2</v>
      </c>
      <c r="F13" s="49">
        <f>E13*100</f>
        <v>7.9308261160397242</v>
      </c>
      <c r="G13" s="38" t="s">
        <v>87</v>
      </c>
    </row>
    <row r="14" spans="1:8">
      <c r="E14" s="46"/>
    </row>
    <row r="15" spans="1:8">
      <c r="E15" s="46"/>
    </row>
    <row r="16" spans="1:8">
      <c r="E16" s="4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A78A2-9962-FD48-9996-29553B1845EE}">
  <dimension ref="B2:R23"/>
  <sheetViews>
    <sheetView zoomScale="130" zoomScaleNormal="130" workbookViewId="0">
      <selection activeCell="G22" sqref="G22"/>
    </sheetView>
  </sheetViews>
  <sheetFormatPr defaultColWidth="10.90625" defaultRowHeight="14.5"/>
  <cols>
    <col min="2" max="2" width="11" bestFit="1" customWidth="1"/>
    <col min="3" max="3" width="20.1796875" customWidth="1"/>
    <col min="4" max="4" width="17" customWidth="1"/>
    <col min="5" max="5" width="11" bestFit="1" customWidth="1"/>
    <col min="7" max="7" width="11" bestFit="1" customWidth="1"/>
    <col min="8" max="8" width="3.453125" customWidth="1"/>
    <col min="9" max="9" width="11" bestFit="1" customWidth="1"/>
  </cols>
  <sheetData>
    <row r="2" spans="2:18"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</row>
    <row r="3" spans="2:18" ht="24" thickBot="1">
      <c r="B3" s="53" t="s">
        <v>68</v>
      </c>
      <c r="C3" s="53" t="s">
        <v>69</v>
      </c>
      <c r="D3" s="53" t="s">
        <v>70</v>
      </c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38"/>
      <c r="Q3" s="38"/>
      <c r="R3" s="38"/>
    </row>
    <row r="4" spans="2:18" ht="23.5">
      <c r="B4" s="55">
        <v>0</v>
      </c>
      <c r="C4" s="55">
        <v>-20000</v>
      </c>
      <c r="D4" s="55">
        <f>C4</f>
        <v>-20000</v>
      </c>
      <c r="E4" s="56"/>
      <c r="F4" s="56"/>
      <c r="G4" s="19">
        <f>MATCH(0,$D$4:$D$11,1)</f>
        <v>4</v>
      </c>
      <c r="H4" s="57"/>
      <c r="I4" s="57" t="s">
        <v>72</v>
      </c>
      <c r="J4" s="54"/>
      <c r="K4" s="54"/>
      <c r="L4" s="54"/>
      <c r="M4" s="54"/>
      <c r="N4" s="54"/>
      <c r="O4" s="54"/>
      <c r="P4" s="38"/>
      <c r="Q4" s="38"/>
      <c r="R4" s="38"/>
    </row>
    <row r="5" spans="2:18" ht="23.5">
      <c r="B5" s="55">
        <v>1</v>
      </c>
      <c r="C5" s="55">
        <v>6000</v>
      </c>
      <c r="D5" s="55">
        <f>D4+C5</f>
        <v>-14000</v>
      </c>
      <c r="E5" s="56"/>
      <c r="F5" s="56"/>
      <c r="G5" s="19">
        <f>INDEX($C$4:$C$11,G4+1)</f>
        <v>6000</v>
      </c>
      <c r="H5" s="57"/>
      <c r="I5" s="58" t="s">
        <v>73</v>
      </c>
      <c r="J5" s="54"/>
      <c r="K5" s="54"/>
      <c r="L5" s="54"/>
      <c r="M5" s="54"/>
      <c r="N5" s="54"/>
      <c r="O5" s="54"/>
      <c r="P5" s="38"/>
      <c r="Q5" s="38"/>
      <c r="R5" s="38"/>
    </row>
    <row r="6" spans="2:18" ht="23.5">
      <c r="B6" s="55">
        <v>2</v>
      </c>
      <c r="C6" s="55">
        <v>6000</v>
      </c>
      <c r="D6" s="55">
        <f t="shared" ref="D6:D11" si="0">D5+C6</f>
        <v>-8000</v>
      </c>
      <c r="E6" s="56"/>
      <c r="F6" s="56"/>
      <c r="G6" s="19">
        <f>INDEX($D$4:$D$11,G4)</f>
        <v>-2000</v>
      </c>
      <c r="H6" s="57"/>
      <c r="I6" s="58" t="s">
        <v>74</v>
      </c>
      <c r="J6" s="54"/>
      <c r="K6" s="54"/>
      <c r="L6" s="54"/>
      <c r="M6" s="54"/>
      <c r="N6" s="54"/>
      <c r="O6" s="54"/>
      <c r="P6" s="38"/>
      <c r="Q6" s="38"/>
      <c r="R6" s="38"/>
    </row>
    <row r="7" spans="2:18" ht="23.5">
      <c r="B7" s="55">
        <v>3</v>
      </c>
      <c r="C7" s="55">
        <v>6000</v>
      </c>
      <c r="D7" s="55">
        <f t="shared" si="0"/>
        <v>-2000</v>
      </c>
      <c r="E7" s="56"/>
      <c r="F7" s="56"/>
      <c r="G7" s="70">
        <f>(G4-1)+(ABS(G6/G5))</f>
        <v>3.3333333333333335</v>
      </c>
      <c r="H7" s="71"/>
      <c r="I7" s="71" t="s">
        <v>81</v>
      </c>
      <c r="J7" s="72"/>
      <c r="K7" s="72"/>
      <c r="L7" s="54"/>
      <c r="M7" s="54"/>
      <c r="N7" s="54"/>
      <c r="O7" s="54"/>
      <c r="P7" s="38"/>
      <c r="Q7" s="38"/>
      <c r="R7" s="38"/>
    </row>
    <row r="8" spans="2:18" ht="23.5">
      <c r="B8" s="55">
        <v>4</v>
      </c>
      <c r="C8" s="55">
        <v>6000</v>
      </c>
      <c r="D8" s="55">
        <f t="shared" si="0"/>
        <v>4000</v>
      </c>
      <c r="E8" s="56"/>
      <c r="F8" s="56"/>
      <c r="G8" s="19" t="str">
        <f>(G4-1)&amp;"Y "&amp;ROUNDUP((ABS(G6/G5))*12,0)&amp;"M"</f>
        <v>3Y 4M</v>
      </c>
      <c r="H8" s="57"/>
      <c r="I8" s="57" t="s">
        <v>82</v>
      </c>
      <c r="J8" s="54"/>
      <c r="K8" s="54"/>
      <c r="L8" s="54"/>
      <c r="M8" s="54"/>
      <c r="N8" s="54"/>
      <c r="O8" s="54"/>
      <c r="P8" s="38"/>
      <c r="Q8" s="38"/>
      <c r="R8" s="38"/>
    </row>
    <row r="9" spans="2:18" ht="23.5">
      <c r="B9" s="55">
        <v>5</v>
      </c>
      <c r="C9" s="55">
        <v>6000</v>
      </c>
      <c r="D9" s="55">
        <f t="shared" si="0"/>
        <v>10000</v>
      </c>
      <c r="E9" s="56"/>
      <c r="F9" s="56"/>
      <c r="G9" s="19" t="str">
        <f>(MATCH(0,$D$4:$D$11,1)-1)&amp;"Y "&amp;ROUNDUP((ABS(INDEX($D$4:$D$11,MATCH(0,$D$4:$D$11,1))/INDEX($C$4:$C$11,MATCH(0,$D$4:$D$11,1)+1)))*12,0)&amp;"M"</f>
        <v>3Y 4M</v>
      </c>
      <c r="H9" s="57"/>
      <c r="I9" s="57" t="s">
        <v>75</v>
      </c>
      <c r="J9" s="54"/>
      <c r="K9" s="54"/>
      <c r="L9" s="54"/>
      <c r="M9" s="54"/>
      <c r="N9" s="54"/>
      <c r="O9" s="54"/>
      <c r="P9" s="38"/>
      <c r="Q9" s="38"/>
      <c r="R9" s="38"/>
    </row>
    <row r="10" spans="2:18" ht="23.5">
      <c r="B10" s="55">
        <v>6</v>
      </c>
      <c r="C10" s="55">
        <v>6000</v>
      </c>
      <c r="D10" s="55">
        <f t="shared" si="0"/>
        <v>16000</v>
      </c>
      <c r="E10" s="56"/>
      <c r="F10" s="56"/>
      <c r="G10" s="52"/>
      <c r="H10" s="54"/>
      <c r="I10" s="54"/>
      <c r="J10" s="54"/>
      <c r="K10" s="54"/>
      <c r="L10" s="54"/>
      <c r="M10" s="54"/>
      <c r="N10" s="54"/>
      <c r="O10" s="54"/>
      <c r="P10" s="38"/>
      <c r="Q10" s="38"/>
      <c r="R10" s="38"/>
    </row>
    <row r="11" spans="2:18" ht="23.5">
      <c r="B11" s="55">
        <v>7</v>
      </c>
      <c r="C11" s="55">
        <v>6000</v>
      </c>
      <c r="D11" s="55">
        <f t="shared" si="0"/>
        <v>22000</v>
      </c>
      <c r="E11" s="56"/>
      <c r="F11" s="56"/>
      <c r="G11" s="52"/>
      <c r="H11" s="54"/>
      <c r="I11" s="54"/>
      <c r="J11" s="54"/>
      <c r="K11" s="54"/>
      <c r="L11" s="54"/>
      <c r="M11" s="54"/>
      <c r="N11" s="54"/>
      <c r="O11" s="54"/>
      <c r="P11" s="38"/>
      <c r="Q11" s="38"/>
      <c r="R11" s="38"/>
    </row>
    <row r="12" spans="2:18" ht="23.5">
      <c r="B12" s="54"/>
      <c r="C12" s="54"/>
      <c r="D12" s="54"/>
      <c r="E12" s="54"/>
      <c r="F12" s="54"/>
      <c r="G12" s="52"/>
      <c r="H12" s="54"/>
      <c r="I12" s="54"/>
      <c r="J12" s="54"/>
      <c r="K12" s="54"/>
      <c r="L12" s="54"/>
      <c r="M12" s="54"/>
      <c r="N12" s="54"/>
      <c r="O12" s="54"/>
      <c r="P12" s="38"/>
      <c r="Q12" s="38"/>
      <c r="R12" s="38"/>
    </row>
    <row r="13" spans="2:18" ht="23.5">
      <c r="B13" s="54"/>
      <c r="C13" s="54" t="s">
        <v>71</v>
      </c>
      <c r="D13" s="59">
        <v>0.08</v>
      </c>
      <c r="E13" s="54"/>
      <c r="F13" s="54"/>
      <c r="G13" s="52"/>
      <c r="H13" s="54"/>
      <c r="I13" s="54"/>
      <c r="J13" s="54"/>
      <c r="K13" s="54"/>
      <c r="L13" s="54"/>
      <c r="M13" s="54"/>
      <c r="N13" s="54"/>
      <c r="O13" s="54"/>
      <c r="P13" s="38"/>
      <c r="Q13" s="38"/>
      <c r="R13" s="38"/>
    </row>
    <row r="14" spans="2:18" ht="24" thickBot="1">
      <c r="B14" s="60" t="s">
        <v>68</v>
      </c>
      <c r="C14" s="60" t="s">
        <v>69</v>
      </c>
      <c r="D14" s="60" t="s">
        <v>70</v>
      </c>
      <c r="E14" s="54"/>
      <c r="F14" s="54"/>
      <c r="G14" s="52"/>
      <c r="H14" s="54"/>
      <c r="I14" s="54"/>
      <c r="J14" s="54"/>
      <c r="K14" s="54"/>
      <c r="L14" s="54"/>
      <c r="M14" s="54"/>
      <c r="N14" s="54"/>
      <c r="O14" s="54"/>
      <c r="P14" s="38"/>
      <c r="Q14" s="38"/>
      <c r="R14" s="38"/>
    </row>
    <row r="15" spans="2:18" ht="23.5">
      <c r="B15" s="55">
        <v>0</v>
      </c>
      <c r="C15" s="55">
        <f>C4/(1+$D$13)^B15</f>
        <v>-20000</v>
      </c>
      <c r="D15" s="55">
        <f>C15</f>
        <v>-20000</v>
      </c>
      <c r="E15" s="56"/>
      <c r="F15" s="54"/>
      <c r="G15" s="19">
        <f>MATCH(0,$D$15:$D$22,1)</f>
        <v>5</v>
      </c>
      <c r="H15" s="54"/>
      <c r="I15" s="57" t="s">
        <v>76</v>
      </c>
      <c r="J15" s="54"/>
      <c r="K15" s="54"/>
      <c r="L15" s="54"/>
      <c r="M15" s="54"/>
      <c r="N15" s="54"/>
      <c r="O15" s="54"/>
      <c r="P15" s="38"/>
      <c r="Q15" s="38"/>
      <c r="R15" s="38"/>
    </row>
    <row r="16" spans="2:18" ht="23.5">
      <c r="B16" s="55">
        <v>1</v>
      </c>
      <c r="C16" s="55">
        <f t="shared" ref="C16:C22" si="1">C5/(1+$D$13)^B16</f>
        <v>5555.5555555555547</v>
      </c>
      <c r="D16" s="55">
        <f>D15+C16</f>
        <v>-14444.444444444445</v>
      </c>
      <c r="E16" s="56"/>
      <c r="F16" s="54"/>
      <c r="G16" s="19">
        <f>INDEX($C$15:$C$22,G15+1)</f>
        <v>4083.4991822025181</v>
      </c>
      <c r="H16" s="54"/>
      <c r="I16" s="58" t="s">
        <v>79</v>
      </c>
      <c r="J16" s="54"/>
      <c r="K16" s="54"/>
      <c r="L16" s="54"/>
      <c r="M16" s="54"/>
      <c r="N16" s="54"/>
      <c r="O16" s="54"/>
      <c r="P16" s="38"/>
      <c r="Q16" s="38"/>
      <c r="R16" s="38"/>
    </row>
    <row r="17" spans="2:18" ht="23.5">
      <c r="B17" s="55">
        <v>2</v>
      </c>
      <c r="C17" s="55">
        <f t="shared" si="1"/>
        <v>5144.032921810699</v>
      </c>
      <c r="D17" s="55">
        <f t="shared" ref="D17:D22" si="2">D16+C17</f>
        <v>-9300.4115226337453</v>
      </c>
      <c r="E17" s="56"/>
      <c r="F17" s="54"/>
      <c r="G17" s="19">
        <f>INDEX($D$15:$D$22,G15)</f>
        <v>-127.23895973400795</v>
      </c>
      <c r="H17" s="54"/>
      <c r="I17" s="58" t="s">
        <v>80</v>
      </c>
      <c r="J17" s="54"/>
      <c r="K17" s="54"/>
      <c r="L17" s="54"/>
      <c r="M17" s="54"/>
      <c r="N17" s="54"/>
      <c r="O17" s="54"/>
      <c r="P17" s="38"/>
      <c r="Q17" s="38"/>
      <c r="R17" s="38"/>
    </row>
    <row r="18" spans="2:18" ht="23.5">
      <c r="B18" s="55">
        <v>3</v>
      </c>
      <c r="C18" s="55">
        <f t="shared" si="1"/>
        <v>4762.9934461210178</v>
      </c>
      <c r="D18" s="55">
        <f t="shared" si="2"/>
        <v>-4537.4180765127276</v>
      </c>
      <c r="E18" s="56"/>
      <c r="F18" s="54"/>
      <c r="G18" s="70">
        <f>(G15-1)+(ABS(G17/G16))</f>
        <v>4.0311592960000002</v>
      </c>
      <c r="H18" s="72"/>
      <c r="I18" s="71" t="s">
        <v>83</v>
      </c>
      <c r="J18" s="72"/>
      <c r="K18" s="72"/>
      <c r="L18" s="54"/>
      <c r="M18" s="54"/>
      <c r="N18" s="54"/>
      <c r="O18" s="54"/>
      <c r="P18" s="38"/>
      <c r="Q18" s="38"/>
      <c r="R18" s="38"/>
    </row>
    <row r="19" spans="2:18" ht="23.5">
      <c r="B19" s="55">
        <v>4</v>
      </c>
      <c r="C19" s="55">
        <f t="shared" si="1"/>
        <v>4410.1791167787196</v>
      </c>
      <c r="D19" s="55">
        <f t="shared" si="2"/>
        <v>-127.23895973400795</v>
      </c>
      <c r="E19" s="56"/>
      <c r="F19" s="54"/>
      <c r="G19" s="19" t="str">
        <f>(G15-1)&amp;"Y "&amp;ROUNDUP((ABS(G17/G16))*12,0)&amp;"M"</f>
        <v>4Y 1M</v>
      </c>
      <c r="H19" s="54"/>
      <c r="I19" s="57" t="s">
        <v>77</v>
      </c>
      <c r="J19" s="54"/>
      <c r="K19" s="54"/>
      <c r="L19" s="54"/>
      <c r="M19" s="54"/>
      <c r="N19" s="54"/>
      <c r="O19" s="54"/>
      <c r="P19" s="38"/>
      <c r="Q19" s="38"/>
      <c r="R19" s="38"/>
    </row>
    <row r="20" spans="2:18" ht="23.5">
      <c r="B20" s="55">
        <v>5</v>
      </c>
      <c r="C20" s="55">
        <f t="shared" si="1"/>
        <v>4083.4991822025181</v>
      </c>
      <c r="D20" s="55">
        <f t="shared" si="2"/>
        <v>3956.2602224685102</v>
      </c>
      <c r="E20" s="56"/>
      <c r="F20" s="54"/>
      <c r="G20" s="19" t="str">
        <f>(MATCH(0,$D$15:$D$22,1)-1)&amp;"Y "&amp;ROUNDUP((ABS(INDEX($D$15:$D$22,MATCH(0,$D$15:$D$22,1))/INDEX($C$15:$C$22,MATCH(0,$D$15:$D$22,1)+1)))*12,0)&amp;"M"</f>
        <v>4Y 1M</v>
      </c>
      <c r="H20" s="54"/>
      <c r="I20" s="57" t="s">
        <v>78</v>
      </c>
      <c r="J20" s="54"/>
      <c r="K20" s="54"/>
      <c r="L20" s="54"/>
      <c r="M20" s="54"/>
      <c r="N20" s="54"/>
      <c r="O20" s="54"/>
      <c r="P20" s="38"/>
      <c r="Q20" s="38"/>
      <c r="R20" s="38"/>
    </row>
    <row r="21" spans="2:18" ht="23.5">
      <c r="B21" s="55">
        <v>6</v>
      </c>
      <c r="C21" s="55">
        <f t="shared" si="1"/>
        <v>3781.0177612986272</v>
      </c>
      <c r="D21" s="55">
        <f t="shared" si="2"/>
        <v>7737.2779837671369</v>
      </c>
      <c r="E21" s="56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38"/>
      <c r="Q21" s="38"/>
      <c r="R21" s="38"/>
    </row>
    <row r="22" spans="2:18" ht="23.5">
      <c r="B22" s="55">
        <v>7</v>
      </c>
      <c r="C22" s="55">
        <f t="shared" si="1"/>
        <v>3500.942371572803</v>
      </c>
      <c r="D22" s="55">
        <f t="shared" si="2"/>
        <v>11238.220355339939</v>
      </c>
      <c r="E22" s="56"/>
      <c r="F22" s="54"/>
      <c r="G22" s="54"/>
      <c r="H22" s="54"/>
      <c r="I22" s="54"/>
      <c r="J22" s="54"/>
      <c r="K22" s="54"/>
      <c r="L22" s="54"/>
      <c r="M22" s="54"/>
      <c r="N22" s="54"/>
      <c r="O22" s="54"/>
      <c r="P22" s="38"/>
      <c r="Q22" s="38"/>
      <c r="R22" s="38"/>
    </row>
    <row r="23" spans="2:18"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</row>
  </sheetData>
  <hyperlinks>
    <hyperlink ref="I5" r:id="rId1" xr:uid="{F4D86F10-599C-4C47-959A-EADC2E7DDA7E}"/>
    <hyperlink ref="I6" r:id="rId2" xr:uid="{2CD81AC0-AF86-F744-90BE-D5F4BABBC070}"/>
    <hyperlink ref="I16" r:id="rId3" xr:uid="{05497032-4D7F-C84D-AEBF-4A471DB0DC79}"/>
    <hyperlink ref="I17" r:id="rId4" xr:uid="{A4DFE52C-1B45-A642-A79C-2CF662BEA108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9"/>
  <sheetViews>
    <sheetView showGridLines="0" topLeftCell="A2" zoomScale="130" zoomScaleNormal="130" workbookViewId="0">
      <selection activeCell="E44" sqref="E44"/>
    </sheetView>
  </sheetViews>
  <sheetFormatPr defaultColWidth="8.81640625" defaultRowHeight="14.5"/>
  <cols>
    <col min="1" max="1" width="38.6328125" bestFit="1" customWidth="1"/>
    <col min="2" max="12" width="11.1796875" customWidth="1"/>
  </cols>
  <sheetData>
    <row r="1" spans="1:12" ht="18.5">
      <c r="A1" s="2" t="s">
        <v>37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2" ht="18.5">
      <c r="A2" s="32" t="s">
        <v>43</v>
      </c>
      <c r="C2" s="24"/>
    </row>
    <row r="3" spans="1:12" ht="4" customHeight="1"/>
    <row r="4" spans="1:12" ht="19" thickBot="1">
      <c r="A4" s="16" t="s">
        <v>26</v>
      </c>
      <c r="B4" s="17" t="s">
        <v>27</v>
      </c>
      <c r="C4" s="16" t="s">
        <v>28</v>
      </c>
      <c r="D4" s="18"/>
      <c r="E4" s="18"/>
      <c r="F4" s="18"/>
      <c r="G4" s="22" t="s">
        <v>44</v>
      </c>
      <c r="H4" s="18"/>
      <c r="I4" s="18"/>
      <c r="J4" s="18"/>
      <c r="K4" s="18"/>
      <c r="L4" s="18"/>
    </row>
    <row r="5" spans="1:12" ht="19.5" thickTop="1" thickBot="1">
      <c r="A5" s="18" t="s">
        <v>23</v>
      </c>
      <c r="B5" s="19" t="s">
        <v>45</v>
      </c>
      <c r="C5" s="34">
        <v>10</v>
      </c>
      <c r="D5" s="18"/>
      <c r="E5" s="18" t="s">
        <v>41</v>
      </c>
      <c r="G5" s="29">
        <v>0.1</v>
      </c>
      <c r="H5" s="18"/>
      <c r="I5" s="18"/>
      <c r="J5" s="18"/>
      <c r="K5" s="18"/>
      <c r="L5" s="18"/>
    </row>
    <row r="6" spans="1:12" ht="19.5" thickTop="1" thickBot="1">
      <c r="A6" s="18" t="s">
        <v>36</v>
      </c>
      <c r="B6" s="19" t="s">
        <v>25</v>
      </c>
      <c r="C6" s="35">
        <v>0.1</v>
      </c>
      <c r="D6" s="18"/>
      <c r="E6" s="18" t="s">
        <v>42</v>
      </c>
      <c r="G6" s="29">
        <v>0.05</v>
      </c>
      <c r="H6" s="18"/>
      <c r="I6" s="18"/>
      <c r="J6" s="18"/>
      <c r="K6" s="18"/>
      <c r="L6" s="18"/>
    </row>
    <row r="7" spans="1:12" ht="19.5" thickTop="1" thickBot="1">
      <c r="A7" s="18" t="s">
        <v>24</v>
      </c>
      <c r="B7" s="19" t="s">
        <v>25</v>
      </c>
      <c r="C7" s="35">
        <v>0.3</v>
      </c>
      <c r="D7" s="18"/>
      <c r="E7" s="18"/>
      <c r="F7" s="18"/>
      <c r="G7" s="18"/>
      <c r="H7" s="18"/>
      <c r="I7" s="18"/>
      <c r="J7" s="18"/>
      <c r="K7" s="18"/>
      <c r="L7" s="18"/>
    </row>
    <row r="8" spans="1:12" ht="19" thickTop="1">
      <c r="A8" s="18" t="s">
        <v>34</v>
      </c>
      <c r="B8" s="19" t="s">
        <v>35</v>
      </c>
      <c r="C8" s="36">
        <v>50</v>
      </c>
      <c r="D8" s="18"/>
      <c r="E8" s="18"/>
      <c r="F8" s="18"/>
      <c r="G8" s="18"/>
      <c r="H8" s="18"/>
      <c r="I8" s="18"/>
      <c r="J8" s="18"/>
      <c r="K8" s="18"/>
      <c r="L8" s="18"/>
    </row>
    <row r="9" spans="1:12" ht="18.5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</row>
    <row r="10" spans="1:12" s="1" customFormat="1" ht="18.5">
      <c r="A10" s="20" t="s">
        <v>19</v>
      </c>
      <c r="B10" s="21" t="s">
        <v>4</v>
      </c>
      <c r="C10" s="21" t="s">
        <v>5</v>
      </c>
      <c r="D10" s="21" t="s">
        <v>6</v>
      </c>
      <c r="E10" s="21" t="s">
        <v>7</v>
      </c>
      <c r="F10" s="21" t="s">
        <v>8</v>
      </c>
      <c r="G10" s="21" t="s">
        <v>9</v>
      </c>
      <c r="H10" s="21" t="s">
        <v>10</v>
      </c>
      <c r="I10" s="21" t="s">
        <v>11</v>
      </c>
      <c r="J10" s="21" t="s">
        <v>20</v>
      </c>
      <c r="K10" s="21" t="s">
        <v>21</v>
      </c>
      <c r="L10" s="21" t="s">
        <v>22</v>
      </c>
    </row>
    <row r="11" spans="1:12" ht="18.5">
      <c r="A11" s="18" t="s">
        <v>29</v>
      </c>
      <c r="B11" s="26">
        <v>1000</v>
      </c>
      <c r="C11" s="26">
        <v>500</v>
      </c>
      <c r="D11" s="25">
        <v>300</v>
      </c>
      <c r="E11" s="26">
        <v>100</v>
      </c>
      <c r="F11" s="26"/>
      <c r="G11" s="26"/>
      <c r="H11" s="26"/>
      <c r="I11" s="26"/>
      <c r="J11" s="26"/>
      <c r="K11" s="26"/>
      <c r="L11" s="26"/>
    </row>
    <row r="12" spans="1:12" ht="18.5">
      <c r="A12" s="18" t="s">
        <v>12</v>
      </c>
      <c r="B12" s="26"/>
      <c r="C12" s="26">
        <v>400</v>
      </c>
      <c r="D12" s="26">
        <v>550</v>
      </c>
      <c r="E12" s="26">
        <v>700</v>
      </c>
      <c r="F12" s="26">
        <v>800</v>
      </c>
      <c r="G12" s="26">
        <v>1000</v>
      </c>
      <c r="H12" s="26">
        <v>1000</v>
      </c>
      <c r="I12" s="26">
        <v>1000</v>
      </c>
      <c r="J12" s="26">
        <v>1000</v>
      </c>
      <c r="K12" s="26">
        <v>1000</v>
      </c>
      <c r="L12" s="26">
        <v>1000</v>
      </c>
    </row>
    <row r="13" spans="1:12" ht="18.5">
      <c r="A13" s="18" t="s">
        <v>13</v>
      </c>
      <c r="B13" s="26"/>
      <c r="C13" s="26">
        <v>200</v>
      </c>
      <c r="D13" s="26">
        <v>220</v>
      </c>
      <c r="E13" s="26">
        <v>240</v>
      </c>
      <c r="F13" s="26">
        <v>250</v>
      </c>
      <c r="G13" s="26">
        <v>300</v>
      </c>
      <c r="H13" s="26">
        <v>300</v>
      </c>
      <c r="I13" s="26">
        <v>300</v>
      </c>
      <c r="J13" s="26">
        <v>300</v>
      </c>
      <c r="K13" s="26">
        <v>300</v>
      </c>
      <c r="L13" s="26">
        <v>300</v>
      </c>
    </row>
    <row r="14" spans="1:12" ht="18.5">
      <c r="A14" s="18" t="s">
        <v>30</v>
      </c>
      <c r="B14" s="23"/>
      <c r="C14" s="23">
        <f>SUM($B11:C11)/$C$5</f>
        <v>150</v>
      </c>
      <c r="D14" s="23">
        <f>SUM($B11:D11)/$C$5</f>
        <v>180</v>
      </c>
      <c r="E14" s="23">
        <f>SUM($B11:E11)/$C$5</f>
        <v>190</v>
      </c>
      <c r="F14" s="23">
        <f>SUM($B11:F11)/$C$5</f>
        <v>190</v>
      </c>
      <c r="G14" s="23">
        <f>SUM($B11:G11)/$C$5</f>
        <v>190</v>
      </c>
      <c r="H14" s="23">
        <f>SUM($B11:H11)/$C$5</f>
        <v>190</v>
      </c>
      <c r="I14" s="23">
        <f>SUM($B11:I11)/$C$5</f>
        <v>190</v>
      </c>
      <c r="J14" s="23">
        <f>SUM($B11:J11)/$C$5</f>
        <v>190</v>
      </c>
      <c r="K14" s="23">
        <f>SUM($B11:K11)/$C$5</f>
        <v>190</v>
      </c>
      <c r="L14" s="23">
        <f>SUM($B11:L11)/$C$5</f>
        <v>190</v>
      </c>
    </row>
    <row r="15" spans="1:12" ht="18.5">
      <c r="A15" s="22" t="s">
        <v>14</v>
      </c>
      <c r="B15" s="27"/>
      <c r="C15" s="27">
        <f>C12-C13-C14</f>
        <v>50</v>
      </c>
      <c r="D15" s="27">
        <f t="shared" ref="D15:L15" si="0">D12-D13-D14</f>
        <v>150</v>
      </c>
      <c r="E15" s="27">
        <f t="shared" si="0"/>
        <v>270</v>
      </c>
      <c r="F15" s="27">
        <f t="shared" si="0"/>
        <v>360</v>
      </c>
      <c r="G15" s="27">
        <f t="shared" si="0"/>
        <v>510</v>
      </c>
      <c r="H15" s="27">
        <f t="shared" si="0"/>
        <v>510</v>
      </c>
      <c r="I15" s="27">
        <f t="shared" si="0"/>
        <v>510</v>
      </c>
      <c r="J15" s="27">
        <f t="shared" si="0"/>
        <v>510</v>
      </c>
      <c r="K15" s="27">
        <f t="shared" si="0"/>
        <v>510</v>
      </c>
      <c r="L15" s="27">
        <f t="shared" si="0"/>
        <v>510</v>
      </c>
    </row>
    <row r="16" spans="1:12" ht="18.5">
      <c r="A16" s="18" t="s">
        <v>15</v>
      </c>
      <c r="B16" s="26"/>
      <c r="C16" s="26">
        <v>30</v>
      </c>
      <c r="D16" s="26">
        <v>40</v>
      </c>
      <c r="E16" s="26">
        <v>50</v>
      </c>
      <c r="F16" s="26">
        <v>60</v>
      </c>
      <c r="G16" s="26">
        <v>60</v>
      </c>
      <c r="H16" s="26">
        <v>60</v>
      </c>
      <c r="I16" s="26">
        <v>60</v>
      </c>
      <c r="J16" s="26">
        <v>60</v>
      </c>
      <c r="K16" s="26">
        <v>60</v>
      </c>
      <c r="L16" s="26">
        <v>60</v>
      </c>
    </row>
    <row r="17" spans="1:12" ht="18.5">
      <c r="A17" s="18" t="s">
        <v>3</v>
      </c>
      <c r="B17" s="26"/>
      <c r="C17" s="26">
        <v>40</v>
      </c>
      <c r="D17" s="26">
        <v>30</v>
      </c>
      <c r="E17" s="26"/>
      <c r="F17" s="26"/>
      <c r="G17" s="26"/>
      <c r="H17" s="26"/>
      <c r="I17" s="26"/>
      <c r="J17" s="26"/>
      <c r="K17" s="26"/>
      <c r="L17" s="26"/>
    </row>
    <row r="18" spans="1:12" ht="18.5">
      <c r="A18" s="22" t="s">
        <v>16</v>
      </c>
      <c r="B18" s="27"/>
      <c r="C18" s="27">
        <f>C15-C16-C17</f>
        <v>-20</v>
      </c>
      <c r="D18" s="27">
        <f t="shared" ref="D18:L18" si="1">D15-D16-D17</f>
        <v>80</v>
      </c>
      <c r="E18" s="27">
        <f t="shared" si="1"/>
        <v>220</v>
      </c>
      <c r="F18" s="27">
        <f t="shared" si="1"/>
        <v>300</v>
      </c>
      <c r="G18" s="27">
        <f t="shared" si="1"/>
        <v>450</v>
      </c>
      <c r="H18" s="27">
        <f t="shared" si="1"/>
        <v>450</v>
      </c>
      <c r="I18" s="27">
        <f t="shared" si="1"/>
        <v>450</v>
      </c>
      <c r="J18" s="27">
        <f t="shared" si="1"/>
        <v>450</v>
      </c>
      <c r="K18" s="27">
        <f t="shared" si="1"/>
        <v>450</v>
      </c>
      <c r="L18" s="27">
        <f t="shared" si="1"/>
        <v>450</v>
      </c>
    </row>
    <row r="19" spans="1:12" ht="18.5">
      <c r="A19" s="18" t="s">
        <v>17</v>
      </c>
      <c r="B19" s="23"/>
      <c r="C19" s="23">
        <f>C18*$C$7</f>
        <v>-6</v>
      </c>
      <c r="D19" s="23">
        <f t="shared" ref="D19:L19" si="2">D18*$C$7</f>
        <v>24</v>
      </c>
      <c r="E19" s="23">
        <f t="shared" si="2"/>
        <v>66</v>
      </c>
      <c r="F19" s="23">
        <f t="shared" si="2"/>
        <v>90</v>
      </c>
      <c r="G19" s="23">
        <f t="shared" si="2"/>
        <v>135</v>
      </c>
      <c r="H19" s="23">
        <f t="shared" si="2"/>
        <v>135</v>
      </c>
      <c r="I19" s="23">
        <f t="shared" si="2"/>
        <v>135</v>
      </c>
      <c r="J19" s="23">
        <f t="shared" si="2"/>
        <v>135</v>
      </c>
      <c r="K19" s="23">
        <f t="shared" si="2"/>
        <v>135</v>
      </c>
      <c r="L19" s="23">
        <f t="shared" si="2"/>
        <v>135</v>
      </c>
    </row>
    <row r="20" spans="1:12" s="1" customFormat="1" ht="18.5">
      <c r="A20" s="22" t="s">
        <v>2</v>
      </c>
      <c r="B20" s="28"/>
      <c r="C20" s="28">
        <f>C18-C19</f>
        <v>-14</v>
      </c>
      <c r="D20" s="28">
        <f t="shared" ref="D20:I20" si="3">D18-D19</f>
        <v>56</v>
      </c>
      <c r="E20" s="28">
        <f t="shared" si="3"/>
        <v>154</v>
      </c>
      <c r="F20" s="28">
        <f t="shared" si="3"/>
        <v>210</v>
      </c>
      <c r="G20" s="28">
        <f t="shared" si="3"/>
        <v>315</v>
      </c>
      <c r="H20" s="28">
        <f t="shared" si="3"/>
        <v>315</v>
      </c>
      <c r="I20" s="28">
        <f t="shared" si="3"/>
        <v>315</v>
      </c>
      <c r="J20" s="28">
        <f t="shared" ref="J20" si="4">J18-J19</f>
        <v>315</v>
      </c>
      <c r="K20" s="28">
        <f t="shared" ref="K20" si="5">K18-K19</f>
        <v>315</v>
      </c>
      <c r="L20" s="28">
        <f t="shared" ref="L20" si="6">L18-L19</f>
        <v>315</v>
      </c>
    </row>
    <row r="21" spans="1:12" ht="18.5">
      <c r="A21" s="18" t="s">
        <v>31</v>
      </c>
      <c r="B21" s="23"/>
      <c r="C21" s="23">
        <f>$C$8</f>
        <v>50</v>
      </c>
      <c r="D21" s="23">
        <f t="shared" ref="D21:L21" si="7">$C$8</f>
        <v>50</v>
      </c>
      <c r="E21" s="23">
        <f t="shared" si="7"/>
        <v>50</v>
      </c>
      <c r="F21" s="23">
        <f t="shared" si="7"/>
        <v>50</v>
      </c>
      <c r="G21" s="23">
        <f t="shared" si="7"/>
        <v>50</v>
      </c>
      <c r="H21" s="23">
        <f t="shared" si="7"/>
        <v>50</v>
      </c>
      <c r="I21" s="23">
        <f t="shared" si="7"/>
        <v>50</v>
      </c>
      <c r="J21" s="23">
        <f t="shared" si="7"/>
        <v>50</v>
      </c>
      <c r="K21" s="23">
        <f t="shared" si="7"/>
        <v>50</v>
      </c>
      <c r="L21" s="23">
        <f t="shared" si="7"/>
        <v>50</v>
      </c>
    </row>
    <row r="22" spans="1:12" ht="18.5">
      <c r="A22" s="18" t="s">
        <v>18</v>
      </c>
      <c r="B22" s="23"/>
      <c r="C22" s="23">
        <f t="shared" ref="C22:L22" si="8">C21*C12/360</f>
        <v>55.555555555555557</v>
      </c>
      <c r="D22" s="23">
        <f t="shared" si="8"/>
        <v>76.388888888888886</v>
      </c>
      <c r="E22" s="23">
        <f t="shared" si="8"/>
        <v>97.222222222222229</v>
      </c>
      <c r="F22" s="23">
        <f t="shared" si="8"/>
        <v>111.11111111111111</v>
      </c>
      <c r="G22" s="23">
        <f t="shared" si="8"/>
        <v>138.88888888888889</v>
      </c>
      <c r="H22" s="23">
        <f t="shared" si="8"/>
        <v>138.88888888888889</v>
      </c>
      <c r="I22" s="23">
        <f t="shared" si="8"/>
        <v>138.88888888888889</v>
      </c>
      <c r="J22" s="23">
        <f t="shared" si="8"/>
        <v>138.88888888888889</v>
      </c>
      <c r="K22" s="23">
        <f t="shared" si="8"/>
        <v>138.88888888888889</v>
      </c>
      <c r="L22" s="23">
        <f t="shared" si="8"/>
        <v>138.88888888888889</v>
      </c>
    </row>
    <row r="23" spans="1:12" ht="18.5">
      <c r="A23" s="18" t="s">
        <v>0</v>
      </c>
      <c r="B23" s="23"/>
      <c r="C23" s="23">
        <f>C22-B22</f>
        <v>55.555555555555557</v>
      </c>
      <c r="D23" s="23">
        <f t="shared" ref="D23:G23" si="9">D22-C22</f>
        <v>20.833333333333329</v>
      </c>
      <c r="E23" s="23">
        <f t="shared" si="9"/>
        <v>20.833333333333343</v>
      </c>
      <c r="F23" s="23">
        <f t="shared" si="9"/>
        <v>13.888888888888886</v>
      </c>
      <c r="G23" s="23">
        <f t="shared" si="9"/>
        <v>27.777777777777771</v>
      </c>
      <c r="H23" s="23">
        <f t="shared" ref="H23" si="10">H22-G22</f>
        <v>0</v>
      </c>
      <c r="I23" s="23">
        <f t="shared" ref="I23" si="11">I22-H22</f>
        <v>0</v>
      </c>
      <c r="J23" s="23">
        <f t="shared" ref="J23" si="12">J22-I22</f>
        <v>0</v>
      </c>
      <c r="K23" s="23">
        <f t="shared" ref="K23" si="13">K22-J22</f>
        <v>0</v>
      </c>
      <c r="L23" s="23">
        <f t="shared" ref="L23" si="14">L22-K22</f>
        <v>0</v>
      </c>
    </row>
    <row r="24" spans="1:12" s="1" customFormat="1" ht="18.5">
      <c r="A24" s="22" t="s">
        <v>1</v>
      </c>
      <c r="B24" s="30">
        <f t="shared" ref="B24:L24" si="15">B20+B14+B17-B11-B23</f>
        <v>-1000</v>
      </c>
      <c r="C24" s="30">
        <f t="shared" si="15"/>
        <v>-379.55555555555554</v>
      </c>
      <c r="D24" s="30">
        <f t="shared" si="15"/>
        <v>-54.833333333333329</v>
      </c>
      <c r="E24" s="30">
        <f t="shared" si="15"/>
        <v>223.16666666666666</v>
      </c>
      <c r="F24" s="30">
        <f t="shared" si="15"/>
        <v>386.11111111111109</v>
      </c>
      <c r="G24" s="30">
        <f t="shared" si="15"/>
        <v>477.22222222222223</v>
      </c>
      <c r="H24" s="30">
        <f t="shared" si="15"/>
        <v>505</v>
      </c>
      <c r="I24" s="30">
        <f t="shared" si="15"/>
        <v>505</v>
      </c>
      <c r="J24" s="30">
        <f t="shared" si="15"/>
        <v>505</v>
      </c>
      <c r="K24" s="30">
        <f t="shared" si="15"/>
        <v>505</v>
      </c>
      <c r="L24" s="30">
        <f t="shared" si="15"/>
        <v>505</v>
      </c>
    </row>
    <row r="25" spans="1:12" s="1" customFormat="1" ht="19" thickBot="1">
      <c r="A25" s="22" t="s">
        <v>38</v>
      </c>
      <c r="B25" s="31">
        <f>SUM($B24:B24)</f>
        <v>-1000</v>
      </c>
      <c r="C25" s="31">
        <f>SUM($B24:C24)</f>
        <v>-1379.5555555555557</v>
      </c>
      <c r="D25" s="31">
        <f>SUM($B24:D24)</f>
        <v>-1434.3888888888889</v>
      </c>
      <c r="E25" s="31">
        <f>SUM($B24:E24)</f>
        <v>-1211.2222222222222</v>
      </c>
      <c r="F25" s="31">
        <f>SUM($B24:F24)</f>
        <v>-825.11111111111109</v>
      </c>
      <c r="G25" s="31">
        <f>SUM($B24:G24)</f>
        <v>-347.88888888888886</v>
      </c>
      <c r="H25" s="31">
        <f>SUM($B24:H24)</f>
        <v>157.11111111111114</v>
      </c>
      <c r="I25" s="31">
        <f>SUM($B24:I24)</f>
        <v>662.11111111111109</v>
      </c>
      <c r="J25" s="31">
        <f>SUM($B24:J24)</f>
        <v>1167.1111111111111</v>
      </c>
      <c r="K25" s="31">
        <f>SUM($B24:K24)</f>
        <v>1672.1111111111111</v>
      </c>
      <c r="L25" s="31">
        <f>SUM($B24:L24)</f>
        <v>2177.1111111111113</v>
      </c>
    </row>
    <row r="26" spans="1:12" ht="7" customHeight="1" thickTop="1"/>
    <row r="27" spans="1:12" ht="19" thickBot="1">
      <c r="A27" s="4" t="s">
        <v>39</v>
      </c>
      <c r="B27" s="5">
        <f>(MATCH(0,B25:L25)-1)+(0-INDEX(B25:L25,MATCH(0,B25:L25)))/(INDEX(B25:L25,MATCH(0,B25:L25)+1)-INDEX(B25:L25,MATCH(0,B25:L25)))</f>
        <v>5.6888888888888891</v>
      </c>
    </row>
    <row r="28" spans="1:12" ht="5" customHeight="1" thickTop="1" thickBot="1">
      <c r="A28" s="14"/>
      <c r="B28" s="15"/>
    </row>
    <row r="29" spans="1:12" ht="23" customHeight="1" thickTop="1" thickBot="1">
      <c r="A29" s="6" t="s">
        <v>32</v>
      </c>
      <c r="B29" s="7">
        <f>NPV(C6,C24:L24)+B24</f>
        <v>525.9967178762131</v>
      </c>
    </row>
    <row r="30" spans="1:12" ht="5" customHeight="1" thickTop="1" thickBot="1">
      <c r="A30" s="12"/>
      <c r="B30" s="13"/>
    </row>
    <row r="31" spans="1:12" ht="19" thickTop="1">
      <c r="A31" s="8" t="s">
        <v>33</v>
      </c>
      <c r="B31" s="9">
        <f>IRR(B24:L24,10%)</f>
        <v>0.16039401499521433</v>
      </c>
    </row>
    <row r="32" spans="1:12" ht="7" customHeight="1"/>
    <row r="33" spans="1:2" ht="21">
      <c r="A33" s="10" t="s">
        <v>40</v>
      </c>
      <c r="B33" s="11">
        <f>MIRR(B24:L24,G5,G6)</f>
        <v>0.1177145663059469</v>
      </c>
    </row>
    <row r="36" spans="1:2">
      <c r="A36" t="s">
        <v>46</v>
      </c>
    </row>
    <row r="37" spans="1:2">
      <c r="A37" s="33" t="s">
        <v>47</v>
      </c>
    </row>
    <row r="38" spans="1:2">
      <c r="A38" t="s">
        <v>48</v>
      </c>
    </row>
    <row r="39" spans="1:2">
      <c r="A39" t="s">
        <v>3</v>
      </c>
    </row>
  </sheetData>
  <pageMargins left="0.7" right="0.7" top="0.75" bottom="0.75" header="0.3" footer="0.3"/>
  <ignoredErrors>
    <ignoredError sqref="C1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9254DA-6FA8-48A0-9DE6-EC1212C3DB64}">
  <dimension ref="A1:S24"/>
  <sheetViews>
    <sheetView tabSelected="1" workbookViewId="0">
      <selection activeCell="G32" sqref="G32"/>
    </sheetView>
  </sheetViews>
  <sheetFormatPr defaultRowHeight="14.5"/>
  <cols>
    <col min="2" max="2" width="13.90625" customWidth="1"/>
    <col min="3" max="3" width="12.1796875" customWidth="1"/>
    <col min="6" max="6" width="19.26953125" customWidth="1"/>
    <col min="7" max="7" width="13.26953125" bestFit="1" customWidth="1"/>
    <col min="8" max="8" width="10.90625" customWidth="1"/>
  </cols>
  <sheetData>
    <row r="1" spans="1:19" ht="46">
      <c r="A1" s="73"/>
    </row>
    <row r="2" spans="1:19" ht="15" thickBot="1">
      <c r="B2" s="74" t="s">
        <v>88</v>
      </c>
      <c r="C2" t="s">
        <v>89</v>
      </c>
      <c r="G2" s="75"/>
      <c r="H2" s="75"/>
      <c r="I2" s="76" t="s">
        <v>90</v>
      </c>
      <c r="J2" s="76"/>
      <c r="K2" s="76"/>
      <c r="L2" s="76"/>
      <c r="M2" s="76"/>
      <c r="N2" s="76"/>
      <c r="O2" s="76"/>
      <c r="P2" s="76"/>
      <c r="R2" s="77" t="s">
        <v>91</v>
      </c>
    </row>
    <row r="3" spans="1:19">
      <c r="B3" t="s">
        <v>92</v>
      </c>
      <c r="C3" s="78">
        <v>2000000</v>
      </c>
      <c r="D3" t="s">
        <v>93</v>
      </c>
      <c r="G3" s="79" t="s">
        <v>94</v>
      </c>
      <c r="H3" s="80">
        <f>ROUNDUP((C3+C3*C4*C5)/(C5*12),-1)</f>
        <v>43340</v>
      </c>
      <c r="I3" s="81">
        <v>0.04</v>
      </c>
      <c r="J3" s="81">
        <v>4.4999999999999998E-2</v>
      </c>
      <c r="K3" s="81">
        <v>0.05</v>
      </c>
      <c r="L3" s="81">
        <v>5.5E-2</v>
      </c>
      <c r="M3" s="81">
        <v>0.06</v>
      </c>
      <c r="N3" s="81">
        <v>6.5000000000000002E-2</v>
      </c>
      <c r="O3" s="81">
        <v>7.0000000000000007E-2</v>
      </c>
      <c r="P3" s="82">
        <v>7.4999999999999997E-2</v>
      </c>
      <c r="R3" s="77">
        <v>1</v>
      </c>
      <c r="S3" t="s">
        <v>95</v>
      </c>
    </row>
    <row r="4" spans="1:19">
      <c r="B4" t="s">
        <v>96</v>
      </c>
      <c r="C4" s="83">
        <v>0.06</v>
      </c>
      <c r="D4" t="s">
        <v>97</v>
      </c>
      <c r="G4" s="79" t="s">
        <v>98</v>
      </c>
      <c r="H4" s="84">
        <v>2</v>
      </c>
      <c r="I4" s="85">
        <v>90000</v>
      </c>
      <c r="J4" s="85">
        <v>90840</v>
      </c>
      <c r="K4" s="85">
        <v>91670</v>
      </c>
      <c r="L4" s="85">
        <v>92500</v>
      </c>
      <c r="M4" s="85">
        <v>93340</v>
      </c>
      <c r="N4" s="85">
        <v>94170</v>
      </c>
      <c r="O4" s="85">
        <v>95000</v>
      </c>
      <c r="P4" s="86">
        <v>95840</v>
      </c>
      <c r="R4" s="77">
        <v>2</v>
      </c>
      <c r="S4" t="s">
        <v>99</v>
      </c>
    </row>
    <row r="5" spans="1:19">
      <c r="B5" t="s">
        <v>100</v>
      </c>
      <c r="C5" s="87">
        <v>5</v>
      </c>
      <c r="D5" t="s">
        <v>101</v>
      </c>
      <c r="G5" s="79"/>
      <c r="H5" s="84">
        <v>3</v>
      </c>
      <c r="I5" s="85">
        <v>62230</v>
      </c>
      <c r="J5" s="85">
        <v>63060</v>
      </c>
      <c r="K5" s="85">
        <v>63890</v>
      </c>
      <c r="L5" s="85">
        <v>64730</v>
      </c>
      <c r="M5" s="85">
        <v>65560</v>
      </c>
      <c r="N5" s="85">
        <v>66390</v>
      </c>
      <c r="O5" s="85">
        <v>67230</v>
      </c>
      <c r="P5" s="86">
        <v>68060</v>
      </c>
      <c r="R5" s="77">
        <v>3</v>
      </c>
      <c r="S5" t="s">
        <v>102</v>
      </c>
    </row>
    <row r="6" spans="1:19">
      <c r="B6" t="s">
        <v>103</v>
      </c>
      <c r="C6">
        <f>C5*12</f>
        <v>60</v>
      </c>
      <c r="D6" t="s">
        <v>104</v>
      </c>
      <c r="G6" s="79"/>
      <c r="H6" s="84">
        <v>4</v>
      </c>
      <c r="I6" s="85">
        <v>48340</v>
      </c>
      <c r="J6" s="85">
        <v>49170</v>
      </c>
      <c r="K6" s="85">
        <v>50000</v>
      </c>
      <c r="L6" s="85">
        <v>50840</v>
      </c>
      <c r="M6" s="85">
        <v>51670</v>
      </c>
      <c r="N6" s="85">
        <v>52500</v>
      </c>
      <c r="O6" s="85">
        <v>53340</v>
      </c>
      <c r="P6" s="86">
        <v>54170</v>
      </c>
      <c r="R6" s="77">
        <v>4</v>
      </c>
      <c r="S6" t="s">
        <v>105</v>
      </c>
    </row>
    <row r="7" spans="1:19">
      <c r="G7" s="79"/>
      <c r="H7" s="84">
        <v>5</v>
      </c>
      <c r="I7" s="85">
        <v>40000</v>
      </c>
      <c r="J7" s="85">
        <v>40840</v>
      </c>
      <c r="K7" s="85">
        <v>41670</v>
      </c>
      <c r="L7" s="85">
        <v>42500</v>
      </c>
      <c r="M7" s="88">
        <v>43340</v>
      </c>
      <c r="N7" s="85">
        <v>44170</v>
      </c>
      <c r="O7" s="85">
        <v>45000</v>
      </c>
      <c r="P7" s="86">
        <v>45840</v>
      </c>
      <c r="R7" s="77">
        <v>5</v>
      </c>
      <c r="S7" t="s">
        <v>106</v>
      </c>
    </row>
    <row r="8" spans="1:19" ht="15" thickBot="1">
      <c r="B8" t="s">
        <v>107</v>
      </c>
      <c r="G8" s="79"/>
      <c r="H8" s="89">
        <v>6</v>
      </c>
      <c r="I8" s="90">
        <v>34450</v>
      </c>
      <c r="J8" s="90">
        <v>35280</v>
      </c>
      <c r="K8" s="90">
        <v>36120</v>
      </c>
      <c r="L8" s="90">
        <v>36950</v>
      </c>
      <c r="M8" s="90">
        <v>37780</v>
      </c>
      <c r="N8" s="90">
        <v>38620</v>
      </c>
      <c r="O8" s="90">
        <v>39450</v>
      </c>
      <c r="P8" s="91">
        <v>40280</v>
      </c>
      <c r="R8" s="77"/>
      <c r="S8" t="s">
        <v>108</v>
      </c>
    </row>
    <row r="9" spans="1:19">
      <c r="B9" s="92" t="s">
        <v>109</v>
      </c>
      <c r="C9" s="93" t="s">
        <v>110</v>
      </c>
      <c r="G9" s="92"/>
    </row>
    <row r="10" spans="1:19">
      <c r="G10" s="92"/>
    </row>
    <row r="11" spans="1:19">
      <c r="B11" t="s">
        <v>111</v>
      </c>
      <c r="C11" s="94">
        <f>(C3+C3*C4*C5)/C6</f>
        <v>43333.333333333336</v>
      </c>
      <c r="D11" t="s">
        <v>112</v>
      </c>
      <c r="G11" s="92"/>
    </row>
    <row r="12" spans="1:19">
      <c r="G12" s="92"/>
    </row>
    <row r="13" spans="1:19">
      <c r="B13" s="74" t="s">
        <v>113</v>
      </c>
      <c r="C13" t="s">
        <v>114</v>
      </c>
      <c r="G13" s="92"/>
    </row>
    <row r="14" spans="1:19">
      <c r="B14" s="95" t="s">
        <v>115</v>
      </c>
      <c r="G14" s="92"/>
    </row>
    <row r="15" spans="1:19" ht="15" thickBot="1">
      <c r="B15" t="s">
        <v>116</v>
      </c>
      <c r="C15" s="96">
        <f>C4/12</f>
        <v>5.0000000000000001E-3</v>
      </c>
      <c r="D15" t="s">
        <v>117</v>
      </c>
      <c r="G15" s="79"/>
      <c r="H15" s="75"/>
      <c r="I15" s="76" t="s">
        <v>90</v>
      </c>
      <c r="J15" s="76"/>
      <c r="K15" s="76"/>
      <c r="L15" s="76"/>
      <c r="M15" s="76"/>
      <c r="N15" s="76"/>
      <c r="O15" s="76"/>
      <c r="P15" s="76"/>
    </row>
    <row r="16" spans="1:19">
      <c r="G16" s="79" t="s">
        <v>94</v>
      </c>
      <c r="H16" s="97">
        <f>ROUND(PMT(C4/12,C5*12, -C3),-1)</f>
        <v>38670</v>
      </c>
      <c r="I16" s="81">
        <v>0.04</v>
      </c>
      <c r="J16" s="81">
        <v>4.4999999999999998E-2</v>
      </c>
      <c r="K16" s="81">
        <v>0.05</v>
      </c>
      <c r="L16" s="81">
        <v>5.5E-2</v>
      </c>
      <c r="M16" s="81">
        <v>0.06</v>
      </c>
      <c r="N16" s="81">
        <v>6.5000000000000002E-2</v>
      </c>
      <c r="O16" s="81">
        <v>7.0000000000000007E-2</v>
      </c>
      <c r="P16" s="82">
        <v>7.4999999999999997E-2</v>
      </c>
    </row>
    <row r="17" spans="2:16">
      <c r="B17" s="92" t="s">
        <v>109</v>
      </c>
      <c r="C17" t="s">
        <v>118</v>
      </c>
      <c r="G17" s="79" t="s">
        <v>98</v>
      </c>
      <c r="H17" s="84">
        <v>2</v>
      </c>
      <c r="I17" s="85">
        <v>86850</v>
      </c>
      <c r="J17" s="85">
        <v>87300</v>
      </c>
      <c r="K17" s="85">
        <v>87740</v>
      </c>
      <c r="L17" s="85">
        <v>88190</v>
      </c>
      <c r="M17" s="85">
        <v>88640</v>
      </c>
      <c r="N17" s="85">
        <v>89090</v>
      </c>
      <c r="O17" s="85">
        <v>89550</v>
      </c>
      <c r="P17" s="86">
        <v>90000</v>
      </c>
    </row>
    <row r="18" spans="2:16">
      <c r="C18" t="s">
        <v>119</v>
      </c>
      <c r="G18" s="75"/>
      <c r="H18" s="84">
        <v>3</v>
      </c>
      <c r="I18" s="85">
        <v>59050</v>
      </c>
      <c r="J18" s="85">
        <v>59490</v>
      </c>
      <c r="K18" s="85">
        <v>59940</v>
      </c>
      <c r="L18" s="85">
        <v>60390</v>
      </c>
      <c r="M18" s="85">
        <v>60840</v>
      </c>
      <c r="N18" s="85">
        <v>61300</v>
      </c>
      <c r="O18" s="85">
        <v>61750</v>
      </c>
      <c r="P18" s="86">
        <v>62210</v>
      </c>
    </row>
    <row r="19" spans="2:16">
      <c r="G19" s="75"/>
      <c r="H19" s="84">
        <v>5</v>
      </c>
      <c r="I19" s="85">
        <v>36830</v>
      </c>
      <c r="J19" s="85">
        <v>37290</v>
      </c>
      <c r="K19" s="85">
        <v>37740</v>
      </c>
      <c r="L19" s="85">
        <v>38200</v>
      </c>
      <c r="M19" s="88">
        <v>38670</v>
      </c>
      <c r="N19" s="85">
        <v>39130</v>
      </c>
      <c r="O19" s="85">
        <v>39600</v>
      </c>
      <c r="P19" s="86">
        <v>40080</v>
      </c>
    </row>
    <row r="20" spans="2:16">
      <c r="B20" t="s">
        <v>120</v>
      </c>
      <c r="C20" s="98">
        <f>PMT(C4/12,C5*12,-C3)</f>
        <v>38665.603058855828</v>
      </c>
      <c r="D20" t="s">
        <v>121</v>
      </c>
      <c r="G20" s="75"/>
      <c r="H20" s="84">
        <v>10</v>
      </c>
      <c r="I20" s="85">
        <v>20250</v>
      </c>
      <c r="J20" s="85">
        <v>20730</v>
      </c>
      <c r="K20" s="85">
        <v>21210</v>
      </c>
      <c r="L20" s="85">
        <v>21710</v>
      </c>
      <c r="M20" s="99">
        <v>22200</v>
      </c>
      <c r="N20" s="85">
        <v>22710</v>
      </c>
      <c r="O20" s="85">
        <v>23220</v>
      </c>
      <c r="P20" s="86">
        <v>23740</v>
      </c>
    </row>
    <row r="21" spans="2:16">
      <c r="G21" s="75"/>
      <c r="H21" s="84">
        <v>15</v>
      </c>
      <c r="I21" s="85">
        <v>14790</v>
      </c>
      <c r="J21" s="85">
        <v>15300</v>
      </c>
      <c r="K21" s="85">
        <v>15820</v>
      </c>
      <c r="L21" s="85">
        <v>16340</v>
      </c>
      <c r="M21" s="85">
        <v>16880</v>
      </c>
      <c r="N21" s="85">
        <v>17420</v>
      </c>
      <c r="O21" s="85">
        <v>17980</v>
      </c>
      <c r="P21" s="86">
        <v>18540</v>
      </c>
    </row>
    <row r="22" spans="2:16">
      <c r="G22" s="75"/>
      <c r="H22" s="84">
        <v>20</v>
      </c>
      <c r="I22" s="85">
        <v>12120</v>
      </c>
      <c r="J22" s="85">
        <v>12650</v>
      </c>
      <c r="K22" s="85">
        <v>13200</v>
      </c>
      <c r="L22" s="85">
        <v>13760</v>
      </c>
      <c r="M22" s="85">
        <v>14330</v>
      </c>
      <c r="N22" s="85">
        <v>14910</v>
      </c>
      <c r="O22" s="85">
        <v>15510</v>
      </c>
      <c r="P22" s="86">
        <v>16110</v>
      </c>
    </row>
    <row r="23" spans="2:16">
      <c r="G23" s="75"/>
      <c r="H23" s="84">
        <v>25</v>
      </c>
      <c r="I23" s="85">
        <v>10560</v>
      </c>
      <c r="J23" s="85">
        <v>11120</v>
      </c>
      <c r="K23" s="85">
        <v>11690</v>
      </c>
      <c r="L23" s="85">
        <v>12280</v>
      </c>
      <c r="M23" s="85">
        <v>12890</v>
      </c>
      <c r="N23" s="85">
        <v>13500</v>
      </c>
      <c r="O23" s="85">
        <v>14140</v>
      </c>
      <c r="P23" s="86">
        <v>14780</v>
      </c>
    </row>
    <row r="24" spans="2:16" ht="15" thickBot="1">
      <c r="G24" s="75"/>
      <c r="H24" s="89">
        <v>30</v>
      </c>
      <c r="I24" s="90">
        <v>9550</v>
      </c>
      <c r="J24" s="90">
        <v>10130</v>
      </c>
      <c r="K24" s="90">
        <v>10740</v>
      </c>
      <c r="L24" s="90">
        <v>11360</v>
      </c>
      <c r="M24" s="90">
        <v>11990</v>
      </c>
      <c r="N24" s="90">
        <v>12640</v>
      </c>
      <c r="O24" s="90">
        <v>13310</v>
      </c>
      <c r="P24" s="91">
        <v>13980</v>
      </c>
    </row>
  </sheetData>
  <mergeCells count="2">
    <mergeCell ref="I2:P2"/>
    <mergeCell ref="I15:P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523C9-D39D-4901-B7BA-9FF08E92387F}">
  <dimension ref="B1:K125"/>
  <sheetViews>
    <sheetView workbookViewId="0">
      <selection activeCell="D20" sqref="D20"/>
    </sheetView>
  </sheetViews>
  <sheetFormatPr defaultRowHeight="14.5"/>
  <cols>
    <col min="7" max="7" width="12.81640625" customWidth="1"/>
    <col min="9" max="9" width="14" customWidth="1"/>
  </cols>
  <sheetData>
    <row r="1" spans="2:11">
      <c r="B1" s="77"/>
      <c r="D1" s="1"/>
    </row>
    <row r="2" spans="2:11">
      <c r="B2" s="77"/>
      <c r="D2" s="1"/>
    </row>
    <row r="3" spans="2:11">
      <c r="B3" s="77"/>
      <c r="C3" s="1"/>
      <c r="D3" s="100" t="s">
        <v>90</v>
      </c>
      <c r="E3" s="101">
        <v>0.05</v>
      </c>
      <c r="F3" s="102" t="s">
        <v>122</v>
      </c>
      <c r="G3" s="103">
        <v>2000000</v>
      </c>
      <c r="I3" s="104">
        <f>SUM(E7:E123)</f>
        <v>2000000.0000000005</v>
      </c>
    </row>
    <row r="4" spans="2:11">
      <c r="B4" s="77"/>
      <c r="C4" s="1"/>
      <c r="D4" s="100" t="s">
        <v>123</v>
      </c>
      <c r="E4" s="96">
        <f>E3/12</f>
        <v>4.1666666666666666E-3</v>
      </c>
      <c r="F4" s="105" t="s">
        <v>124</v>
      </c>
      <c r="G4" s="106">
        <f>SUM(F7:F123)</f>
        <v>585521.00550000009</v>
      </c>
      <c r="I4" s="94"/>
    </row>
    <row r="5" spans="2:11">
      <c r="B5" s="107" t="s">
        <v>125</v>
      </c>
      <c r="C5" s="1"/>
      <c r="D5" s="1" t="s">
        <v>126</v>
      </c>
      <c r="E5" s="1" t="s">
        <v>127</v>
      </c>
      <c r="F5" s="1" t="s">
        <v>128</v>
      </c>
      <c r="G5" s="1" t="s">
        <v>129</v>
      </c>
    </row>
    <row r="6" spans="2:11">
      <c r="B6" s="77"/>
      <c r="D6" s="1"/>
      <c r="G6" s="108">
        <f>G3</f>
        <v>2000000</v>
      </c>
    </row>
    <row r="7" spans="2:11">
      <c r="B7" s="121">
        <v>1</v>
      </c>
      <c r="C7" s="122">
        <f>$E$3</f>
        <v>0.05</v>
      </c>
      <c r="D7" s="123">
        <v>20000</v>
      </c>
      <c r="E7" s="124">
        <f>ROUND(D7-F7,-2)</f>
        <v>11700</v>
      </c>
      <c r="F7" s="125">
        <f>(G6*$E$3)/12</f>
        <v>8333.3333333333339</v>
      </c>
      <c r="G7" s="126">
        <f>ROUND(G3-E7,2)</f>
        <v>1988300</v>
      </c>
      <c r="I7" s="109" t="s">
        <v>130</v>
      </c>
      <c r="J7" s="77" t="s">
        <v>131</v>
      </c>
      <c r="K7" s="110" t="s">
        <v>132</v>
      </c>
    </row>
    <row r="8" spans="2:11">
      <c r="B8" s="127">
        <v>2</v>
      </c>
      <c r="C8" s="119">
        <f t="shared" ref="C8:C71" si="0">$E$3</f>
        <v>0.05</v>
      </c>
      <c r="D8" s="128">
        <v>20000</v>
      </c>
      <c r="E8" s="129">
        <f>ROUND(D8-F8,2)</f>
        <v>11715.42</v>
      </c>
      <c r="F8" s="130">
        <f>(G7*$E$3)/12</f>
        <v>8284.5833333333339</v>
      </c>
      <c r="G8" s="131">
        <f>ROUND(G7-E8,2)</f>
        <v>1976584.58</v>
      </c>
      <c r="I8" s="111" t="s">
        <v>133</v>
      </c>
      <c r="J8" s="77" t="s">
        <v>131</v>
      </c>
      <c r="K8" s="110" t="s">
        <v>134</v>
      </c>
    </row>
    <row r="9" spans="2:11">
      <c r="B9" s="127">
        <v>3</v>
      </c>
      <c r="C9" s="119">
        <f t="shared" si="0"/>
        <v>0.05</v>
      </c>
      <c r="D9" s="128">
        <v>20000</v>
      </c>
      <c r="E9" s="129">
        <f t="shared" ref="E9:E72" si="1">ROUND(D9-F9,2)</f>
        <v>11764.23</v>
      </c>
      <c r="F9" s="130">
        <f t="shared" ref="F9:F72" si="2">(G8*$E$3)/12</f>
        <v>8235.7690833333345</v>
      </c>
      <c r="G9" s="131">
        <f t="shared" ref="G9:G72" si="3">ROUND(G8-E9,2)</f>
        <v>1964820.35</v>
      </c>
      <c r="I9" s="111" t="s">
        <v>129</v>
      </c>
      <c r="J9" s="77" t="s">
        <v>131</v>
      </c>
      <c r="K9" s="110" t="s">
        <v>135</v>
      </c>
    </row>
    <row r="10" spans="2:11">
      <c r="B10" s="127">
        <v>4</v>
      </c>
      <c r="C10" s="119">
        <f t="shared" si="0"/>
        <v>0.05</v>
      </c>
      <c r="D10" s="128">
        <v>20000</v>
      </c>
      <c r="E10" s="129">
        <f t="shared" si="1"/>
        <v>11813.25</v>
      </c>
      <c r="F10" s="130">
        <f t="shared" si="2"/>
        <v>8186.751458333335</v>
      </c>
      <c r="G10" s="131">
        <f t="shared" si="3"/>
        <v>1953007.1</v>
      </c>
      <c r="I10" s="112"/>
      <c r="K10" s="110"/>
    </row>
    <row r="11" spans="2:11">
      <c r="B11" s="127">
        <v>5</v>
      </c>
      <c r="C11" s="119">
        <f t="shared" si="0"/>
        <v>0.05</v>
      </c>
      <c r="D11" s="128">
        <v>20000</v>
      </c>
      <c r="E11" s="129">
        <f t="shared" si="1"/>
        <v>11862.47</v>
      </c>
      <c r="F11" s="130">
        <f t="shared" si="2"/>
        <v>8137.5295833333339</v>
      </c>
      <c r="G11" s="131">
        <f t="shared" si="3"/>
        <v>1941144.63</v>
      </c>
      <c r="I11" s="112"/>
    </row>
    <row r="12" spans="2:11">
      <c r="B12" s="127">
        <v>6</v>
      </c>
      <c r="C12" s="119">
        <f t="shared" si="0"/>
        <v>0.05</v>
      </c>
      <c r="D12" s="128">
        <v>20000</v>
      </c>
      <c r="E12" s="129">
        <f t="shared" si="1"/>
        <v>11911.9</v>
      </c>
      <c r="F12" s="130">
        <f t="shared" si="2"/>
        <v>8088.1026249999995</v>
      </c>
      <c r="G12" s="131">
        <f t="shared" si="3"/>
        <v>1929232.73</v>
      </c>
      <c r="I12" s="112"/>
    </row>
    <row r="13" spans="2:11">
      <c r="B13" s="127">
        <v>7</v>
      </c>
      <c r="C13" s="119">
        <f t="shared" si="0"/>
        <v>0.05</v>
      </c>
      <c r="D13" s="128">
        <v>20000</v>
      </c>
      <c r="E13" s="129">
        <f t="shared" si="1"/>
        <v>11961.53</v>
      </c>
      <c r="F13" s="130">
        <f t="shared" si="2"/>
        <v>8038.469708333334</v>
      </c>
      <c r="G13" s="131">
        <f t="shared" si="3"/>
        <v>1917271.2</v>
      </c>
      <c r="I13" s="112"/>
    </row>
    <row r="14" spans="2:11">
      <c r="B14" s="127">
        <v>8</v>
      </c>
      <c r="C14" s="119">
        <f t="shared" si="0"/>
        <v>0.05</v>
      </c>
      <c r="D14" s="128">
        <v>20000</v>
      </c>
      <c r="E14" s="129">
        <f t="shared" si="1"/>
        <v>12011.37</v>
      </c>
      <c r="F14" s="130">
        <f t="shared" si="2"/>
        <v>7988.63</v>
      </c>
      <c r="G14" s="131">
        <f t="shared" si="3"/>
        <v>1905259.83</v>
      </c>
      <c r="I14" s="112"/>
    </row>
    <row r="15" spans="2:11">
      <c r="B15" s="127">
        <v>9</v>
      </c>
      <c r="C15" s="119">
        <f t="shared" si="0"/>
        <v>0.05</v>
      </c>
      <c r="D15" s="128">
        <v>20000</v>
      </c>
      <c r="E15" s="129">
        <f t="shared" si="1"/>
        <v>12061.42</v>
      </c>
      <c r="F15" s="130">
        <f t="shared" si="2"/>
        <v>7938.582625</v>
      </c>
      <c r="G15" s="131">
        <f t="shared" si="3"/>
        <v>1893198.41</v>
      </c>
      <c r="I15" s="112"/>
    </row>
    <row r="16" spans="2:11">
      <c r="B16" s="127">
        <v>10</v>
      </c>
      <c r="C16" s="119">
        <f t="shared" si="0"/>
        <v>0.05</v>
      </c>
      <c r="D16" s="128">
        <v>20000</v>
      </c>
      <c r="E16" s="129">
        <f t="shared" si="1"/>
        <v>12111.67</v>
      </c>
      <c r="F16" s="130">
        <f t="shared" si="2"/>
        <v>7888.326708333334</v>
      </c>
      <c r="G16" s="131">
        <f t="shared" si="3"/>
        <v>1881086.74</v>
      </c>
      <c r="I16" s="112"/>
    </row>
    <row r="17" spans="2:9">
      <c r="B17" s="127">
        <v>11</v>
      </c>
      <c r="C17" s="119">
        <f t="shared" si="0"/>
        <v>0.05</v>
      </c>
      <c r="D17" s="128">
        <v>20000</v>
      </c>
      <c r="E17" s="129">
        <f t="shared" si="1"/>
        <v>12162.14</v>
      </c>
      <c r="F17" s="130">
        <f t="shared" si="2"/>
        <v>7837.8614166666666</v>
      </c>
      <c r="G17" s="131">
        <f t="shared" si="3"/>
        <v>1868924.6</v>
      </c>
      <c r="I17" s="112"/>
    </row>
    <row r="18" spans="2:9">
      <c r="B18" s="132">
        <v>12</v>
      </c>
      <c r="C18" s="133">
        <f t="shared" si="0"/>
        <v>0.05</v>
      </c>
      <c r="D18" s="134">
        <v>20000</v>
      </c>
      <c r="E18" s="135">
        <f t="shared" si="1"/>
        <v>12212.81</v>
      </c>
      <c r="F18" s="136">
        <f t="shared" si="2"/>
        <v>7787.1858333333339</v>
      </c>
      <c r="G18" s="137">
        <f t="shared" si="3"/>
        <v>1856711.79</v>
      </c>
      <c r="I18" s="112"/>
    </row>
    <row r="19" spans="2:9">
      <c r="B19" s="77">
        <v>13</v>
      </c>
      <c r="C19" s="120">
        <f t="shared" si="0"/>
        <v>0.05</v>
      </c>
      <c r="D19" s="113">
        <v>20000</v>
      </c>
      <c r="E19" s="104">
        <f t="shared" si="1"/>
        <v>12263.7</v>
      </c>
      <c r="F19" s="106">
        <f t="shared" si="2"/>
        <v>7736.2991250000005</v>
      </c>
      <c r="G19" s="104">
        <f t="shared" si="3"/>
        <v>1844448.09</v>
      </c>
      <c r="I19" s="112"/>
    </row>
    <row r="20" spans="2:9">
      <c r="B20" s="77">
        <v>14</v>
      </c>
      <c r="C20" s="120">
        <f t="shared" si="0"/>
        <v>0.05</v>
      </c>
      <c r="D20" s="113">
        <v>20000</v>
      </c>
      <c r="E20" s="104">
        <f t="shared" si="1"/>
        <v>12314.8</v>
      </c>
      <c r="F20" s="106">
        <f t="shared" si="2"/>
        <v>7685.2003750000003</v>
      </c>
      <c r="G20" s="104">
        <f t="shared" si="3"/>
        <v>1832133.29</v>
      </c>
      <c r="I20" s="112"/>
    </row>
    <row r="21" spans="2:9">
      <c r="B21" s="77">
        <v>15</v>
      </c>
      <c r="C21" s="120">
        <f t="shared" si="0"/>
        <v>0.05</v>
      </c>
      <c r="D21" s="113">
        <v>20000</v>
      </c>
      <c r="E21" s="104">
        <f t="shared" si="1"/>
        <v>12366.11</v>
      </c>
      <c r="F21" s="106">
        <f t="shared" si="2"/>
        <v>7633.8887083333348</v>
      </c>
      <c r="G21" s="104">
        <f t="shared" si="3"/>
        <v>1819767.18</v>
      </c>
      <c r="I21" s="114"/>
    </row>
    <row r="22" spans="2:9">
      <c r="B22" s="77">
        <v>16</v>
      </c>
      <c r="C22" s="120">
        <f t="shared" si="0"/>
        <v>0.05</v>
      </c>
      <c r="D22" s="113">
        <v>20000</v>
      </c>
      <c r="E22" s="104">
        <f t="shared" si="1"/>
        <v>12417.64</v>
      </c>
      <c r="F22" s="106">
        <f t="shared" si="2"/>
        <v>7582.3632499999994</v>
      </c>
      <c r="G22" s="104">
        <f t="shared" si="3"/>
        <v>1807349.54</v>
      </c>
    </row>
    <row r="23" spans="2:9">
      <c r="B23" s="77">
        <v>17</v>
      </c>
      <c r="C23" s="120">
        <f t="shared" si="0"/>
        <v>0.05</v>
      </c>
      <c r="D23" s="113">
        <v>20000</v>
      </c>
      <c r="E23" s="104">
        <f t="shared" si="1"/>
        <v>12469.38</v>
      </c>
      <c r="F23" s="106">
        <f t="shared" si="2"/>
        <v>7530.6230833333348</v>
      </c>
      <c r="G23" s="104">
        <f t="shared" si="3"/>
        <v>1794880.16</v>
      </c>
    </row>
    <row r="24" spans="2:9">
      <c r="B24" s="77">
        <v>18</v>
      </c>
      <c r="C24" s="120">
        <f t="shared" si="0"/>
        <v>0.05</v>
      </c>
      <c r="D24" s="113">
        <v>20000</v>
      </c>
      <c r="E24" s="104">
        <f t="shared" si="1"/>
        <v>12521.33</v>
      </c>
      <c r="F24" s="106">
        <f t="shared" si="2"/>
        <v>7478.6673333333338</v>
      </c>
      <c r="G24" s="104">
        <f t="shared" si="3"/>
        <v>1782358.83</v>
      </c>
    </row>
    <row r="25" spans="2:9">
      <c r="B25" s="77">
        <v>19</v>
      </c>
      <c r="C25" s="120">
        <f t="shared" si="0"/>
        <v>0.05</v>
      </c>
      <c r="D25" s="113">
        <v>20000</v>
      </c>
      <c r="E25" s="104">
        <f t="shared" si="1"/>
        <v>12573.5</v>
      </c>
      <c r="F25" s="106">
        <f t="shared" si="2"/>
        <v>7426.4951250000013</v>
      </c>
      <c r="G25" s="104">
        <f t="shared" si="3"/>
        <v>1769785.33</v>
      </c>
    </row>
    <row r="26" spans="2:9">
      <c r="B26" s="77">
        <v>20</v>
      </c>
      <c r="C26" s="120">
        <f t="shared" si="0"/>
        <v>0.05</v>
      </c>
      <c r="D26" s="113">
        <v>20000</v>
      </c>
      <c r="E26" s="104">
        <f t="shared" si="1"/>
        <v>12625.89</v>
      </c>
      <c r="F26" s="106">
        <f t="shared" si="2"/>
        <v>7374.1055416666677</v>
      </c>
      <c r="G26" s="104">
        <f t="shared" si="3"/>
        <v>1757159.44</v>
      </c>
    </row>
    <row r="27" spans="2:9">
      <c r="B27" s="77">
        <v>21</v>
      </c>
      <c r="C27" s="120">
        <f t="shared" si="0"/>
        <v>0.05</v>
      </c>
      <c r="D27" s="113">
        <v>20000</v>
      </c>
      <c r="E27" s="104">
        <f t="shared" si="1"/>
        <v>12678.5</v>
      </c>
      <c r="F27" s="106">
        <f t="shared" si="2"/>
        <v>7321.4976666666671</v>
      </c>
      <c r="G27" s="104">
        <f t="shared" si="3"/>
        <v>1744480.94</v>
      </c>
    </row>
    <row r="28" spans="2:9">
      <c r="B28" s="77">
        <v>22</v>
      </c>
      <c r="C28" s="120">
        <f t="shared" si="0"/>
        <v>0.05</v>
      </c>
      <c r="D28" s="113">
        <v>20000</v>
      </c>
      <c r="E28" s="104">
        <f t="shared" si="1"/>
        <v>12731.33</v>
      </c>
      <c r="F28" s="106">
        <f t="shared" si="2"/>
        <v>7268.6705833333335</v>
      </c>
      <c r="G28" s="104">
        <f t="shared" si="3"/>
        <v>1731749.61</v>
      </c>
    </row>
    <row r="29" spans="2:9">
      <c r="B29" s="77">
        <v>23</v>
      </c>
      <c r="C29" s="120">
        <f t="shared" si="0"/>
        <v>0.05</v>
      </c>
      <c r="D29" s="113">
        <v>20000</v>
      </c>
      <c r="E29" s="104">
        <f t="shared" si="1"/>
        <v>12784.38</v>
      </c>
      <c r="F29" s="106">
        <f t="shared" si="2"/>
        <v>7215.6233750000001</v>
      </c>
      <c r="G29" s="104">
        <f t="shared" si="3"/>
        <v>1718965.23</v>
      </c>
    </row>
    <row r="30" spans="2:9">
      <c r="B30" s="77">
        <v>24</v>
      </c>
      <c r="C30" s="120">
        <f t="shared" si="0"/>
        <v>0.05</v>
      </c>
      <c r="D30" s="113">
        <v>20000</v>
      </c>
      <c r="E30" s="104">
        <f t="shared" si="1"/>
        <v>12837.64</v>
      </c>
      <c r="F30" s="106">
        <f t="shared" si="2"/>
        <v>7162.355125000001</v>
      </c>
      <c r="G30" s="104">
        <f t="shared" si="3"/>
        <v>1706127.59</v>
      </c>
    </row>
    <row r="31" spans="2:9">
      <c r="B31" s="77">
        <v>25</v>
      </c>
      <c r="C31" s="120">
        <f t="shared" si="0"/>
        <v>0.05</v>
      </c>
      <c r="D31" s="113">
        <v>20000</v>
      </c>
      <c r="E31" s="104">
        <f t="shared" si="1"/>
        <v>12891.14</v>
      </c>
      <c r="F31" s="106">
        <f t="shared" si="2"/>
        <v>7108.8649583333345</v>
      </c>
      <c r="G31" s="104">
        <f t="shared" si="3"/>
        <v>1693236.45</v>
      </c>
    </row>
    <row r="32" spans="2:9">
      <c r="B32" s="77">
        <v>26</v>
      </c>
      <c r="C32" s="120">
        <f t="shared" si="0"/>
        <v>0.05</v>
      </c>
      <c r="D32" s="113">
        <v>20000</v>
      </c>
      <c r="E32" s="104">
        <f t="shared" si="1"/>
        <v>12944.85</v>
      </c>
      <c r="F32" s="106">
        <f t="shared" si="2"/>
        <v>7055.1518750000005</v>
      </c>
      <c r="G32" s="104">
        <f t="shared" si="3"/>
        <v>1680291.6</v>
      </c>
    </row>
    <row r="33" spans="2:7">
      <c r="B33" s="77">
        <v>27</v>
      </c>
      <c r="C33" s="120">
        <f t="shared" si="0"/>
        <v>0.05</v>
      </c>
      <c r="D33" s="113">
        <v>20000</v>
      </c>
      <c r="E33" s="104">
        <f t="shared" si="1"/>
        <v>12998.79</v>
      </c>
      <c r="F33" s="106">
        <f t="shared" si="2"/>
        <v>7001.2150000000011</v>
      </c>
      <c r="G33" s="104">
        <f t="shared" si="3"/>
        <v>1667292.81</v>
      </c>
    </row>
    <row r="34" spans="2:7">
      <c r="B34" s="77">
        <v>28</v>
      </c>
      <c r="C34" s="120">
        <f t="shared" si="0"/>
        <v>0.05</v>
      </c>
      <c r="D34" s="113">
        <v>20000</v>
      </c>
      <c r="E34" s="104">
        <f t="shared" si="1"/>
        <v>13052.95</v>
      </c>
      <c r="F34" s="106">
        <f t="shared" si="2"/>
        <v>6947.0533750000004</v>
      </c>
      <c r="G34" s="104">
        <f t="shared" si="3"/>
        <v>1654239.86</v>
      </c>
    </row>
    <row r="35" spans="2:7">
      <c r="B35" s="77">
        <v>29</v>
      </c>
      <c r="C35" s="120">
        <f t="shared" si="0"/>
        <v>0.05</v>
      </c>
      <c r="D35" s="113">
        <v>20000</v>
      </c>
      <c r="E35" s="104">
        <f t="shared" si="1"/>
        <v>13107.33</v>
      </c>
      <c r="F35" s="106">
        <f t="shared" si="2"/>
        <v>6892.6660833333344</v>
      </c>
      <c r="G35" s="104">
        <f t="shared" si="3"/>
        <v>1641132.53</v>
      </c>
    </row>
    <row r="36" spans="2:7">
      <c r="B36" s="77">
        <v>30</v>
      </c>
      <c r="C36" s="120">
        <f t="shared" si="0"/>
        <v>0.05</v>
      </c>
      <c r="D36" s="113">
        <v>20000</v>
      </c>
      <c r="E36" s="104">
        <f t="shared" si="1"/>
        <v>13161.95</v>
      </c>
      <c r="F36" s="106">
        <f t="shared" si="2"/>
        <v>6838.0522083333344</v>
      </c>
      <c r="G36" s="104">
        <f t="shared" si="3"/>
        <v>1627970.58</v>
      </c>
    </row>
    <row r="37" spans="2:7">
      <c r="B37" s="77">
        <v>31</v>
      </c>
      <c r="C37" s="120">
        <f t="shared" si="0"/>
        <v>0.05</v>
      </c>
      <c r="D37" s="113">
        <v>20000</v>
      </c>
      <c r="E37" s="104">
        <f t="shared" si="1"/>
        <v>13216.79</v>
      </c>
      <c r="F37" s="106">
        <f t="shared" si="2"/>
        <v>6783.2107500000011</v>
      </c>
      <c r="G37" s="104">
        <f t="shared" si="3"/>
        <v>1614753.79</v>
      </c>
    </row>
    <row r="38" spans="2:7">
      <c r="B38" s="77">
        <v>32</v>
      </c>
      <c r="C38" s="120">
        <f t="shared" si="0"/>
        <v>0.05</v>
      </c>
      <c r="D38" s="113">
        <v>20000</v>
      </c>
      <c r="E38" s="104">
        <f t="shared" si="1"/>
        <v>13271.86</v>
      </c>
      <c r="F38" s="106">
        <f t="shared" si="2"/>
        <v>6728.1407916666676</v>
      </c>
      <c r="G38" s="104">
        <f t="shared" si="3"/>
        <v>1601481.93</v>
      </c>
    </row>
    <row r="39" spans="2:7">
      <c r="B39" s="77">
        <v>33</v>
      </c>
      <c r="C39" s="120">
        <f t="shared" si="0"/>
        <v>0.05</v>
      </c>
      <c r="D39" s="113">
        <v>20000</v>
      </c>
      <c r="E39" s="104">
        <f t="shared" si="1"/>
        <v>13327.16</v>
      </c>
      <c r="F39" s="106">
        <f t="shared" si="2"/>
        <v>6672.841375</v>
      </c>
      <c r="G39" s="104">
        <f t="shared" si="3"/>
        <v>1588154.77</v>
      </c>
    </row>
    <row r="40" spans="2:7">
      <c r="B40" s="77">
        <v>34</v>
      </c>
      <c r="C40" s="120">
        <f t="shared" si="0"/>
        <v>0.05</v>
      </c>
      <c r="D40" s="113">
        <v>20000</v>
      </c>
      <c r="E40" s="104">
        <f t="shared" si="1"/>
        <v>13382.69</v>
      </c>
      <c r="F40" s="106">
        <f t="shared" si="2"/>
        <v>6617.3115416666669</v>
      </c>
      <c r="G40" s="104">
        <f t="shared" si="3"/>
        <v>1574772.08</v>
      </c>
    </row>
    <row r="41" spans="2:7">
      <c r="B41" s="77">
        <v>35</v>
      </c>
      <c r="C41" s="120">
        <f t="shared" si="0"/>
        <v>0.05</v>
      </c>
      <c r="D41" s="113">
        <v>20000</v>
      </c>
      <c r="E41" s="104">
        <f t="shared" si="1"/>
        <v>13438.45</v>
      </c>
      <c r="F41" s="106">
        <f t="shared" si="2"/>
        <v>6561.5503333333336</v>
      </c>
      <c r="G41" s="104">
        <f t="shared" si="3"/>
        <v>1561333.63</v>
      </c>
    </row>
    <row r="42" spans="2:7">
      <c r="B42" s="77">
        <v>36</v>
      </c>
      <c r="C42" s="120">
        <f t="shared" si="0"/>
        <v>0.05</v>
      </c>
      <c r="D42" s="113">
        <v>20000</v>
      </c>
      <c r="E42" s="104">
        <f t="shared" si="1"/>
        <v>13494.44</v>
      </c>
      <c r="F42" s="106">
        <f t="shared" si="2"/>
        <v>6505.556791666666</v>
      </c>
      <c r="G42" s="104">
        <f t="shared" si="3"/>
        <v>1547839.19</v>
      </c>
    </row>
    <row r="43" spans="2:7">
      <c r="B43" s="77">
        <v>37</v>
      </c>
      <c r="C43" s="120">
        <f t="shared" si="0"/>
        <v>0.05</v>
      </c>
      <c r="D43" s="113">
        <v>20000</v>
      </c>
      <c r="E43" s="104">
        <f t="shared" si="1"/>
        <v>13550.67</v>
      </c>
      <c r="F43" s="106">
        <f t="shared" si="2"/>
        <v>6449.3299583333328</v>
      </c>
      <c r="G43" s="104">
        <f t="shared" si="3"/>
        <v>1534288.52</v>
      </c>
    </row>
    <row r="44" spans="2:7">
      <c r="B44" s="77">
        <v>38</v>
      </c>
      <c r="C44" s="120">
        <f t="shared" si="0"/>
        <v>0.05</v>
      </c>
      <c r="D44" s="113">
        <v>20000</v>
      </c>
      <c r="E44" s="104">
        <f t="shared" si="1"/>
        <v>13607.13</v>
      </c>
      <c r="F44" s="106">
        <f t="shared" si="2"/>
        <v>6392.8688333333339</v>
      </c>
      <c r="G44" s="104">
        <f t="shared" si="3"/>
        <v>1520681.39</v>
      </c>
    </row>
    <row r="45" spans="2:7">
      <c r="B45" s="77">
        <v>39</v>
      </c>
      <c r="C45" s="120">
        <f t="shared" si="0"/>
        <v>0.05</v>
      </c>
      <c r="D45" s="113">
        <v>20000</v>
      </c>
      <c r="E45" s="104">
        <f t="shared" si="1"/>
        <v>13663.83</v>
      </c>
      <c r="F45" s="106">
        <f t="shared" si="2"/>
        <v>6336.1724583333335</v>
      </c>
      <c r="G45" s="104">
        <f t="shared" si="3"/>
        <v>1507017.56</v>
      </c>
    </row>
    <row r="46" spans="2:7">
      <c r="B46" s="77">
        <v>40</v>
      </c>
      <c r="C46" s="120">
        <f t="shared" si="0"/>
        <v>0.05</v>
      </c>
      <c r="D46" s="113">
        <v>20000</v>
      </c>
      <c r="E46" s="104">
        <f t="shared" si="1"/>
        <v>13720.76</v>
      </c>
      <c r="F46" s="106">
        <f t="shared" si="2"/>
        <v>6279.239833333334</v>
      </c>
      <c r="G46" s="104">
        <f t="shared" si="3"/>
        <v>1493296.8</v>
      </c>
    </row>
    <row r="47" spans="2:7">
      <c r="B47" s="77">
        <v>41</v>
      </c>
      <c r="C47" s="120">
        <f t="shared" si="0"/>
        <v>0.05</v>
      </c>
      <c r="D47" s="113">
        <v>20000</v>
      </c>
      <c r="E47" s="104">
        <f t="shared" si="1"/>
        <v>13777.93</v>
      </c>
      <c r="F47" s="106">
        <f t="shared" si="2"/>
        <v>6222.0700000000006</v>
      </c>
      <c r="G47" s="104">
        <f t="shared" si="3"/>
        <v>1479518.87</v>
      </c>
    </row>
    <row r="48" spans="2:7">
      <c r="B48" s="77">
        <v>42</v>
      </c>
      <c r="C48" s="120">
        <f t="shared" si="0"/>
        <v>0.05</v>
      </c>
      <c r="D48" s="113">
        <v>20000</v>
      </c>
      <c r="E48" s="104">
        <f t="shared" si="1"/>
        <v>13835.34</v>
      </c>
      <c r="F48" s="106">
        <f t="shared" si="2"/>
        <v>6164.661958333334</v>
      </c>
      <c r="G48" s="104">
        <f t="shared" si="3"/>
        <v>1465683.53</v>
      </c>
    </row>
    <row r="49" spans="2:7">
      <c r="B49" s="77">
        <v>43</v>
      </c>
      <c r="C49" s="120">
        <f t="shared" si="0"/>
        <v>0.05</v>
      </c>
      <c r="D49" s="113">
        <v>20000</v>
      </c>
      <c r="E49" s="104">
        <f t="shared" si="1"/>
        <v>13892.99</v>
      </c>
      <c r="F49" s="106">
        <f t="shared" si="2"/>
        <v>6107.0147083333331</v>
      </c>
      <c r="G49" s="104">
        <f t="shared" si="3"/>
        <v>1451790.54</v>
      </c>
    </row>
    <row r="50" spans="2:7">
      <c r="B50" s="77">
        <v>44</v>
      </c>
      <c r="C50" s="120">
        <f t="shared" si="0"/>
        <v>0.05</v>
      </c>
      <c r="D50" s="113">
        <v>20000</v>
      </c>
      <c r="E50" s="104">
        <f t="shared" si="1"/>
        <v>13950.87</v>
      </c>
      <c r="F50" s="106">
        <f t="shared" si="2"/>
        <v>6049.1272500000005</v>
      </c>
      <c r="G50" s="104">
        <f t="shared" si="3"/>
        <v>1437839.67</v>
      </c>
    </row>
    <row r="51" spans="2:7">
      <c r="B51" s="77">
        <v>45</v>
      </c>
      <c r="C51" s="120">
        <f t="shared" si="0"/>
        <v>0.05</v>
      </c>
      <c r="D51" s="113">
        <v>20000</v>
      </c>
      <c r="E51" s="104">
        <f t="shared" si="1"/>
        <v>14009</v>
      </c>
      <c r="F51" s="106">
        <f t="shared" si="2"/>
        <v>5990.9986250000002</v>
      </c>
      <c r="G51" s="104">
        <f t="shared" si="3"/>
        <v>1423830.67</v>
      </c>
    </row>
    <row r="52" spans="2:7">
      <c r="B52" s="77">
        <v>46</v>
      </c>
      <c r="C52" s="120">
        <f t="shared" si="0"/>
        <v>0.05</v>
      </c>
      <c r="D52" s="113">
        <v>20000</v>
      </c>
      <c r="E52" s="104">
        <f t="shared" si="1"/>
        <v>14067.37</v>
      </c>
      <c r="F52" s="106">
        <f t="shared" si="2"/>
        <v>5932.6277916666668</v>
      </c>
      <c r="G52" s="104">
        <f t="shared" si="3"/>
        <v>1409763.3</v>
      </c>
    </row>
    <row r="53" spans="2:7">
      <c r="B53" s="77">
        <v>47</v>
      </c>
      <c r="C53" s="120">
        <f t="shared" si="0"/>
        <v>0.05</v>
      </c>
      <c r="D53" s="113">
        <v>20000</v>
      </c>
      <c r="E53" s="104">
        <f t="shared" si="1"/>
        <v>14125.99</v>
      </c>
      <c r="F53" s="106">
        <f t="shared" si="2"/>
        <v>5874.013750000001</v>
      </c>
      <c r="G53" s="104">
        <f t="shared" si="3"/>
        <v>1395637.31</v>
      </c>
    </row>
    <row r="54" spans="2:7">
      <c r="B54" s="77">
        <v>48</v>
      </c>
      <c r="C54" s="120">
        <f t="shared" si="0"/>
        <v>0.05</v>
      </c>
      <c r="D54" s="113">
        <v>20000</v>
      </c>
      <c r="E54" s="104">
        <f t="shared" si="1"/>
        <v>14184.84</v>
      </c>
      <c r="F54" s="106">
        <f t="shared" si="2"/>
        <v>5815.1554583333336</v>
      </c>
      <c r="G54" s="104">
        <f t="shared" si="3"/>
        <v>1381452.47</v>
      </c>
    </row>
    <row r="55" spans="2:7">
      <c r="B55" s="77">
        <v>49</v>
      </c>
      <c r="C55" s="120">
        <f t="shared" si="0"/>
        <v>0.05</v>
      </c>
      <c r="D55" s="113">
        <v>20000</v>
      </c>
      <c r="E55" s="104">
        <f t="shared" si="1"/>
        <v>14243.95</v>
      </c>
      <c r="F55" s="106">
        <f t="shared" si="2"/>
        <v>5756.0519583333335</v>
      </c>
      <c r="G55" s="104">
        <f t="shared" si="3"/>
        <v>1367208.52</v>
      </c>
    </row>
    <row r="56" spans="2:7">
      <c r="B56" s="77">
        <v>50</v>
      </c>
      <c r="C56" s="120">
        <f t="shared" si="0"/>
        <v>0.05</v>
      </c>
      <c r="D56" s="113">
        <v>20000</v>
      </c>
      <c r="E56" s="104">
        <f t="shared" si="1"/>
        <v>14303.3</v>
      </c>
      <c r="F56" s="106">
        <f t="shared" si="2"/>
        <v>5696.7021666666669</v>
      </c>
      <c r="G56" s="104">
        <f t="shared" si="3"/>
        <v>1352905.22</v>
      </c>
    </row>
    <row r="57" spans="2:7">
      <c r="B57" s="77">
        <v>51</v>
      </c>
      <c r="C57" s="120">
        <f t="shared" si="0"/>
        <v>0.05</v>
      </c>
      <c r="D57" s="113">
        <v>20000</v>
      </c>
      <c r="E57" s="104">
        <f t="shared" si="1"/>
        <v>14362.89</v>
      </c>
      <c r="F57" s="106">
        <f t="shared" si="2"/>
        <v>5637.1050833333329</v>
      </c>
      <c r="G57" s="104">
        <f t="shared" si="3"/>
        <v>1338542.33</v>
      </c>
    </row>
    <row r="58" spans="2:7">
      <c r="B58" s="77">
        <v>52</v>
      </c>
      <c r="C58" s="120">
        <f t="shared" si="0"/>
        <v>0.05</v>
      </c>
      <c r="D58" s="113">
        <v>20000</v>
      </c>
      <c r="E58" s="104">
        <f t="shared" si="1"/>
        <v>14422.74</v>
      </c>
      <c r="F58" s="106">
        <f t="shared" si="2"/>
        <v>5577.2597083333339</v>
      </c>
      <c r="G58" s="104">
        <f t="shared" si="3"/>
        <v>1324119.5900000001</v>
      </c>
    </row>
    <row r="59" spans="2:7">
      <c r="B59" s="77">
        <v>53</v>
      </c>
      <c r="C59" s="120">
        <f t="shared" si="0"/>
        <v>0.05</v>
      </c>
      <c r="D59" s="113">
        <v>20000</v>
      </c>
      <c r="E59" s="104">
        <f t="shared" si="1"/>
        <v>14482.84</v>
      </c>
      <c r="F59" s="106">
        <f t="shared" si="2"/>
        <v>5517.1649583333337</v>
      </c>
      <c r="G59" s="104">
        <f t="shared" si="3"/>
        <v>1309636.75</v>
      </c>
    </row>
    <row r="60" spans="2:7">
      <c r="B60" s="77">
        <v>54</v>
      </c>
      <c r="C60" s="120">
        <f t="shared" si="0"/>
        <v>0.05</v>
      </c>
      <c r="D60" s="113">
        <v>20000</v>
      </c>
      <c r="E60" s="104">
        <f t="shared" si="1"/>
        <v>14543.18</v>
      </c>
      <c r="F60" s="106">
        <f t="shared" si="2"/>
        <v>5456.8197916666668</v>
      </c>
      <c r="G60" s="104">
        <f t="shared" si="3"/>
        <v>1295093.57</v>
      </c>
    </row>
    <row r="61" spans="2:7">
      <c r="B61" s="77">
        <v>55</v>
      </c>
      <c r="C61" s="120">
        <f t="shared" si="0"/>
        <v>0.05</v>
      </c>
      <c r="D61" s="113">
        <v>20000</v>
      </c>
      <c r="E61" s="104">
        <f t="shared" si="1"/>
        <v>14603.78</v>
      </c>
      <c r="F61" s="106">
        <f t="shared" si="2"/>
        <v>5396.2232083333338</v>
      </c>
      <c r="G61" s="104">
        <f t="shared" si="3"/>
        <v>1280489.79</v>
      </c>
    </row>
    <row r="62" spans="2:7">
      <c r="B62" s="77">
        <v>56</v>
      </c>
      <c r="C62" s="120">
        <f t="shared" si="0"/>
        <v>0.05</v>
      </c>
      <c r="D62" s="113">
        <v>20000</v>
      </c>
      <c r="E62" s="104">
        <f t="shared" si="1"/>
        <v>14664.63</v>
      </c>
      <c r="F62" s="106">
        <f t="shared" si="2"/>
        <v>5335.3741250000003</v>
      </c>
      <c r="G62" s="104">
        <f t="shared" si="3"/>
        <v>1265825.1599999999</v>
      </c>
    </row>
    <row r="63" spans="2:7">
      <c r="B63" s="77">
        <v>57</v>
      </c>
      <c r="C63" s="120">
        <f t="shared" si="0"/>
        <v>0.05</v>
      </c>
      <c r="D63" s="113">
        <v>20000</v>
      </c>
      <c r="E63" s="104">
        <f t="shared" si="1"/>
        <v>14725.73</v>
      </c>
      <c r="F63" s="106">
        <f t="shared" si="2"/>
        <v>5274.2714999999998</v>
      </c>
      <c r="G63" s="104">
        <f t="shared" si="3"/>
        <v>1251099.43</v>
      </c>
    </row>
    <row r="64" spans="2:7">
      <c r="B64" s="77">
        <v>58</v>
      </c>
      <c r="C64" s="120">
        <f t="shared" si="0"/>
        <v>0.05</v>
      </c>
      <c r="D64" s="113">
        <v>20000</v>
      </c>
      <c r="E64" s="104">
        <f t="shared" si="1"/>
        <v>14787.09</v>
      </c>
      <c r="F64" s="106">
        <f t="shared" si="2"/>
        <v>5212.9142916666669</v>
      </c>
      <c r="G64" s="104">
        <f t="shared" si="3"/>
        <v>1236312.3400000001</v>
      </c>
    </row>
    <row r="65" spans="2:7">
      <c r="B65" s="77">
        <v>59</v>
      </c>
      <c r="C65" s="120">
        <f t="shared" si="0"/>
        <v>0.05</v>
      </c>
      <c r="D65" s="113">
        <v>20000</v>
      </c>
      <c r="E65" s="104">
        <f t="shared" si="1"/>
        <v>14848.7</v>
      </c>
      <c r="F65" s="106">
        <f t="shared" si="2"/>
        <v>5151.3014166666671</v>
      </c>
      <c r="G65" s="104">
        <f t="shared" si="3"/>
        <v>1221463.6399999999</v>
      </c>
    </row>
    <row r="66" spans="2:7">
      <c r="B66" s="77">
        <v>60</v>
      </c>
      <c r="C66" s="120">
        <f t="shared" si="0"/>
        <v>0.05</v>
      </c>
      <c r="D66" s="113">
        <v>20000</v>
      </c>
      <c r="E66" s="104">
        <f t="shared" si="1"/>
        <v>14910.57</v>
      </c>
      <c r="F66" s="106">
        <f t="shared" si="2"/>
        <v>5089.4318333333331</v>
      </c>
      <c r="G66" s="104">
        <f t="shared" si="3"/>
        <v>1206553.07</v>
      </c>
    </row>
    <row r="67" spans="2:7">
      <c r="B67" s="77">
        <v>61</v>
      </c>
      <c r="C67" s="120">
        <f t="shared" si="0"/>
        <v>0.05</v>
      </c>
      <c r="D67" s="113">
        <v>20000</v>
      </c>
      <c r="E67" s="104">
        <f t="shared" si="1"/>
        <v>14972.7</v>
      </c>
      <c r="F67" s="106">
        <f t="shared" si="2"/>
        <v>5027.304458333334</v>
      </c>
      <c r="G67" s="104">
        <f t="shared" si="3"/>
        <v>1191580.3700000001</v>
      </c>
    </row>
    <row r="68" spans="2:7">
      <c r="B68" s="77">
        <v>62</v>
      </c>
      <c r="C68" s="120">
        <f t="shared" si="0"/>
        <v>0.05</v>
      </c>
      <c r="D68" s="113">
        <v>20000</v>
      </c>
      <c r="E68" s="104">
        <f t="shared" si="1"/>
        <v>15035.08</v>
      </c>
      <c r="F68" s="106">
        <f t="shared" si="2"/>
        <v>4964.9182083333335</v>
      </c>
      <c r="G68" s="104">
        <f t="shared" si="3"/>
        <v>1176545.29</v>
      </c>
    </row>
    <row r="69" spans="2:7">
      <c r="B69" s="77">
        <v>63</v>
      </c>
      <c r="C69" s="120">
        <f t="shared" si="0"/>
        <v>0.05</v>
      </c>
      <c r="D69" s="113">
        <v>20000</v>
      </c>
      <c r="E69" s="104">
        <f t="shared" si="1"/>
        <v>15097.73</v>
      </c>
      <c r="F69" s="106">
        <f t="shared" si="2"/>
        <v>4902.2720416666671</v>
      </c>
      <c r="G69" s="104">
        <f t="shared" si="3"/>
        <v>1161447.56</v>
      </c>
    </row>
    <row r="70" spans="2:7">
      <c r="B70" s="77">
        <v>64</v>
      </c>
      <c r="C70" s="120">
        <f t="shared" si="0"/>
        <v>0.05</v>
      </c>
      <c r="D70" s="113">
        <v>20000</v>
      </c>
      <c r="E70" s="104">
        <f t="shared" si="1"/>
        <v>15160.64</v>
      </c>
      <c r="F70" s="106">
        <f t="shared" si="2"/>
        <v>4839.364833333334</v>
      </c>
      <c r="G70" s="104">
        <f t="shared" si="3"/>
        <v>1146286.92</v>
      </c>
    </row>
    <row r="71" spans="2:7">
      <c r="B71" s="77">
        <v>65</v>
      </c>
      <c r="C71" s="120">
        <f t="shared" si="0"/>
        <v>0.05</v>
      </c>
      <c r="D71" s="113">
        <v>20000</v>
      </c>
      <c r="E71" s="104">
        <f t="shared" si="1"/>
        <v>15223.8</v>
      </c>
      <c r="F71" s="106">
        <f t="shared" si="2"/>
        <v>4776.1954999999998</v>
      </c>
      <c r="G71" s="104">
        <f t="shared" si="3"/>
        <v>1131063.1200000001</v>
      </c>
    </row>
    <row r="72" spans="2:7">
      <c r="B72" s="77">
        <v>66</v>
      </c>
      <c r="C72" s="120">
        <f t="shared" ref="C72:C123" si="4">$E$3</f>
        <v>0.05</v>
      </c>
      <c r="D72" s="113">
        <v>20000</v>
      </c>
      <c r="E72" s="104">
        <f t="shared" si="1"/>
        <v>15287.24</v>
      </c>
      <c r="F72" s="106">
        <f t="shared" si="2"/>
        <v>4712.7630000000008</v>
      </c>
      <c r="G72" s="104">
        <f t="shared" si="3"/>
        <v>1115775.8799999999</v>
      </c>
    </row>
    <row r="73" spans="2:7">
      <c r="B73" s="77">
        <v>67</v>
      </c>
      <c r="C73" s="120">
        <f t="shared" si="4"/>
        <v>0.05</v>
      </c>
      <c r="D73" s="113">
        <v>20000</v>
      </c>
      <c r="E73" s="104">
        <f t="shared" ref="E73:E123" si="5">ROUND(D73-F73,2)</f>
        <v>15350.93</v>
      </c>
      <c r="F73" s="106">
        <f t="shared" ref="F73:F123" si="6">(G72*$E$3)/12</f>
        <v>4649.0661666666665</v>
      </c>
      <c r="G73" s="104">
        <f t="shared" ref="G73:G123" si="7">ROUND(G72-E73,2)</f>
        <v>1100424.95</v>
      </c>
    </row>
    <row r="74" spans="2:7">
      <c r="B74" s="77">
        <v>68</v>
      </c>
      <c r="C74" s="120">
        <f t="shared" si="4"/>
        <v>0.05</v>
      </c>
      <c r="D74" s="113">
        <v>20000</v>
      </c>
      <c r="E74" s="104">
        <f t="shared" si="5"/>
        <v>15414.9</v>
      </c>
      <c r="F74" s="106">
        <f t="shared" si="6"/>
        <v>4585.1039583333331</v>
      </c>
      <c r="G74" s="104">
        <f t="shared" si="7"/>
        <v>1085010.05</v>
      </c>
    </row>
    <row r="75" spans="2:7">
      <c r="B75" s="77">
        <v>69</v>
      </c>
      <c r="C75" s="120">
        <f t="shared" si="4"/>
        <v>0.05</v>
      </c>
      <c r="D75" s="113">
        <v>20000</v>
      </c>
      <c r="E75" s="104">
        <f t="shared" si="5"/>
        <v>15479.12</v>
      </c>
      <c r="F75" s="106">
        <f t="shared" si="6"/>
        <v>4520.8752083333338</v>
      </c>
      <c r="G75" s="104">
        <f t="shared" si="7"/>
        <v>1069530.93</v>
      </c>
    </row>
    <row r="76" spans="2:7">
      <c r="B76" s="77">
        <v>70</v>
      </c>
      <c r="C76" s="120">
        <f t="shared" si="4"/>
        <v>0.05</v>
      </c>
      <c r="D76" s="113">
        <v>20000</v>
      </c>
      <c r="E76" s="104">
        <f t="shared" si="5"/>
        <v>15543.62</v>
      </c>
      <c r="F76" s="106">
        <f t="shared" si="6"/>
        <v>4456.3788749999994</v>
      </c>
      <c r="G76" s="104">
        <f t="shared" si="7"/>
        <v>1053987.31</v>
      </c>
    </row>
    <row r="77" spans="2:7">
      <c r="B77" s="77">
        <v>71</v>
      </c>
      <c r="C77" s="120">
        <f t="shared" si="4"/>
        <v>0.05</v>
      </c>
      <c r="D77" s="113">
        <v>20000</v>
      </c>
      <c r="E77" s="104">
        <f t="shared" si="5"/>
        <v>15608.39</v>
      </c>
      <c r="F77" s="106">
        <f t="shared" si="6"/>
        <v>4391.6137916666676</v>
      </c>
      <c r="G77" s="104">
        <f t="shared" si="7"/>
        <v>1038378.92</v>
      </c>
    </row>
    <row r="78" spans="2:7">
      <c r="B78" s="77">
        <v>72</v>
      </c>
      <c r="C78" s="120">
        <f t="shared" si="4"/>
        <v>0.05</v>
      </c>
      <c r="D78" s="113">
        <v>20000</v>
      </c>
      <c r="E78" s="104">
        <f t="shared" si="5"/>
        <v>15673.42</v>
      </c>
      <c r="F78" s="106">
        <f t="shared" si="6"/>
        <v>4326.5788333333339</v>
      </c>
      <c r="G78" s="104">
        <f t="shared" si="7"/>
        <v>1022705.5</v>
      </c>
    </row>
    <row r="79" spans="2:7">
      <c r="B79" s="77">
        <v>73</v>
      </c>
      <c r="C79" s="120">
        <f t="shared" si="4"/>
        <v>0.05</v>
      </c>
      <c r="D79" s="113">
        <v>20000</v>
      </c>
      <c r="E79" s="104">
        <f t="shared" si="5"/>
        <v>15738.73</v>
      </c>
      <c r="F79" s="106">
        <f t="shared" si="6"/>
        <v>4261.2729166666668</v>
      </c>
      <c r="G79" s="104">
        <f t="shared" si="7"/>
        <v>1006966.77</v>
      </c>
    </row>
    <row r="80" spans="2:7">
      <c r="B80" s="77">
        <v>74</v>
      </c>
      <c r="C80" s="120">
        <f t="shared" si="4"/>
        <v>0.05</v>
      </c>
      <c r="D80" s="113">
        <v>20000</v>
      </c>
      <c r="E80" s="104">
        <f t="shared" si="5"/>
        <v>15804.31</v>
      </c>
      <c r="F80" s="106">
        <f t="shared" si="6"/>
        <v>4195.6948750000001</v>
      </c>
      <c r="G80" s="104">
        <f t="shared" si="7"/>
        <v>991162.46</v>
      </c>
    </row>
    <row r="81" spans="2:7">
      <c r="B81" s="77">
        <v>75</v>
      </c>
      <c r="C81" s="120">
        <f t="shared" si="4"/>
        <v>0.05</v>
      </c>
      <c r="D81" s="113">
        <v>20000</v>
      </c>
      <c r="E81" s="104">
        <f t="shared" si="5"/>
        <v>15870.16</v>
      </c>
      <c r="F81" s="106">
        <f t="shared" si="6"/>
        <v>4129.8435833333333</v>
      </c>
      <c r="G81" s="104">
        <f t="shared" si="7"/>
        <v>975292.3</v>
      </c>
    </row>
    <row r="82" spans="2:7">
      <c r="B82" s="77">
        <v>76</v>
      </c>
      <c r="C82" s="120">
        <f t="shared" si="4"/>
        <v>0.05</v>
      </c>
      <c r="D82" s="113">
        <v>20000</v>
      </c>
      <c r="E82" s="104">
        <f t="shared" si="5"/>
        <v>15936.28</v>
      </c>
      <c r="F82" s="106">
        <f t="shared" si="6"/>
        <v>4063.717916666667</v>
      </c>
      <c r="G82" s="104">
        <f t="shared" si="7"/>
        <v>959356.02</v>
      </c>
    </row>
    <row r="83" spans="2:7">
      <c r="B83" s="77">
        <v>77</v>
      </c>
      <c r="C83" s="120">
        <f t="shared" si="4"/>
        <v>0.05</v>
      </c>
      <c r="D83" s="113">
        <v>20000</v>
      </c>
      <c r="E83" s="104">
        <f t="shared" si="5"/>
        <v>16002.68</v>
      </c>
      <c r="F83" s="106">
        <f t="shared" si="6"/>
        <v>3997.3167500000004</v>
      </c>
      <c r="G83" s="104">
        <f t="shared" si="7"/>
        <v>943353.34</v>
      </c>
    </row>
    <row r="84" spans="2:7">
      <c r="B84" s="77">
        <v>78</v>
      </c>
      <c r="C84" s="120">
        <f t="shared" si="4"/>
        <v>0.05</v>
      </c>
      <c r="D84" s="113">
        <v>20000</v>
      </c>
      <c r="E84" s="104">
        <f t="shared" si="5"/>
        <v>16069.36</v>
      </c>
      <c r="F84" s="106">
        <f t="shared" si="6"/>
        <v>3930.6389166666668</v>
      </c>
      <c r="G84" s="104">
        <f t="shared" si="7"/>
        <v>927283.98</v>
      </c>
    </row>
    <row r="85" spans="2:7">
      <c r="B85" s="77">
        <v>79</v>
      </c>
      <c r="C85" s="120">
        <f t="shared" si="4"/>
        <v>0.05</v>
      </c>
      <c r="D85" s="113">
        <v>20000</v>
      </c>
      <c r="E85" s="104">
        <f t="shared" si="5"/>
        <v>16136.32</v>
      </c>
      <c r="F85" s="106">
        <f t="shared" si="6"/>
        <v>3863.68325</v>
      </c>
      <c r="G85" s="104">
        <f t="shared" si="7"/>
        <v>911147.66</v>
      </c>
    </row>
    <row r="86" spans="2:7">
      <c r="B86" s="77">
        <v>80</v>
      </c>
      <c r="C86" s="120">
        <f t="shared" si="4"/>
        <v>0.05</v>
      </c>
      <c r="D86" s="113">
        <v>20000</v>
      </c>
      <c r="E86" s="104">
        <f t="shared" si="5"/>
        <v>16203.55</v>
      </c>
      <c r="F86" s="106">
        <f t="shared" si="6"/>
        <v>3796.4485833333333</v>
      </c>
      <c r="G86" s="104">
        <f t="shared" si="7"/>
        <v>894944.11</v>
      </c>
    </row>
    <row r="87" spans="2:7">
      <c r="B87" s="77">
        <v>81</v>
      </c>
      <c r="C87" s="120">
        <f t="shared" si="4"/>
        <v>0.05</v>
      </c>
      <c r="D87" s="113">
        <v>20000</v>
      </c>
      <c r="E87" s="104">
        <f t="shared" si="5"/>
        <v>16271.07</v>
      </c>
      <c r="F87" s="106">
        <f t="shared" si="6"/>
        <v>3728.9337916666668</v>
      </c>
      <c r="G87" s="104">
        <f t="shared" si="7"/>
        <v>878673.04</v>
      </c>
    </row>
    <row r="88" spans="2:7">
      <c r="B88" s="77">
        <v>82</v>
      </c>
      <c r="C88" s="120">
        <f t="shared" si="4"/>
        <v>0.05</v>
      </c>
      <c r="D88" s="113">
        <v>20000</v>
      </c>
      <c r="E88" s="104">
        <f t="shared" si="5"/>
        <v>16338.86</v>
      </c>
      <c r="F88" s="106">
        <f t="shared" si="6"/>
        <v>3661.137666666667</v>
      </c>
      <c r="G88" s="104">
        <f t="shared" si="7"/>
        <v>862334.18</v>
      </c>
    </row>
    <row r="89" spans="2:7">
      <c r="B89" s="77">
        <v>83</v>
      </c>
      <c r="C89" s="120">
        <f t="shared" si="4"/>
        <v>0.05</v>
      </c>
      <c r="D89" s="113">
        <v>20000</v>
      </c>
      <c r="E89" s="104">
        <f t="shared" si="5"/>
        <v>16406.939999999999</v>
      </c>
      <c r="F89" s="106">
        <f t="shared" si="6"/>
        <v>3593.0590833333335</v>
      </c>
      <c r="G89" s="104">
        <f t="shared" si="7"/>
        <v>845927.24</v>
      </c>
    </row>
    <row r="90" spans="2:7">
      <c r="B90" s="77">
        <v>84</v>
      </c>
      <c r="C90" s="120">
        <f t="shared" si="4"/>
        <v>0.05</v>
      </c>
      <c r="D90" s="113">
        <v>20000</v>
      </c>
      <c r="E90" s="104">
        <f t="shared" si="5"/>
        <v>16475.3</v>
      </c>
      <c r="F90" s="106">
        <f t="shared" si="6"/>
        <v>3524.6968333333334</v>
      </c>
      <c r="G90" s="104">
        <f t="shared" si="7"/>
        <v>829451.94</v>
      </c>
    </row>
    <row r="91" spans="2:7">
      <c r="B91" s="77">
        <v>85</v>
      </c>
      <c r="C91" s="120">
        <f t="shared" si="4"/>
        <v>0.05</v>
      </c>
      <c r="D91" s="113">
        <v>20000</v>
      </c>
      <c r="E91" s="104">
        <f t="shared" si="5"/>
        <v>16543.95</v>
      </c>
      <c r="F91" s="106">
        <f t="shared" si="6"/>
        <v>3456.0497500000001</v>
      </c>
      <c r="G91" s="104">
        <f t="shared" si="7"/>
        <v>812907.99</v>
      </c>
    </row>
    <row r="92" spans="2:7">
      <c r="B92" s="77">
        <v>86</v>
      </c>
      <c r="C92" s="120">
        <f t="shared" si="4"/>
        <v>0.05</v>
      </c>
      <c r="D92" s="113">
        <v>20000</v>
      </c>
      <c r="E92" s="104">
        <f t="shared" si="5"/>
        <v>16612.88</v>
      </c>
      <c r="F92" s="106">
        <f t="shared" si="6"/>
        <v>3387.1166250000001</v>
      </c>
      <c r="G92" s="104">
        <f t="shared" si="7"/>
        <v>796295.11</v>
      </c>
    </row>
    <row r="93" spans="2:7">
      <c r="B93" s="77">
        <v>87</v>
      </c>
      <c r="C93" s="120">
        <f t="shared" si="4"/>
        <v>0.05</v>
      </c>
      <c r="D93" s="113">
        <v>20000</v>
      </c>
      <c r="E93" s="104">
        <f t="shared" si="5"/>
        <v>16682.099999999999</v>
      </c>
      <c r="F93" s="106">
        <f t="shared" si="6"/>
        <v>3317.8962916666665</v>
      </c>
      <c r="G93" s="104">
        <f t="shared" si="7"/>
        <v>779613.01</v>
      </c>
    </row>
    <row r="94" spans="2:7">
      <c r="B94" s="77">
        <v>88</v>
      </c>
      <c r="C94" s="120">
        <f t="shared" si="4"/>
        <v>0.05</v>
      </c>
      <c r="D94" s="113">
        <v>20000</v>
      </c>
      <c r="E94" s="104">
        <f t="shared" si="5"/>
        <v>16751.61</v>
      </c>
      <c r="F94" s="106">
        <f t="shared" si="6"/>
        <v>3248.3875416666669</v>
      </c>
      <c r="G94" s="104">
        <f t="shared" si="7"/>
        <v>762861.4</v>
      </c>
    </row>
    <row r="95" spans="2:7">
      <c r="B95" s="77">
        <v>89</v>
      </c>
      <c r="C95" s="120">
        <f t="shared" si="4"/>
        <v>0.05</v>
      </c>
      <c r="D95" s="113">
        <v>20000</v>
      </c>
      <c r="E95" s="104">
        <f t="shared" si="5"/>
        <v>16821.41</v>
      </c>
      <c r="F95" s="106">
        <f t="shared" si="6"/>
        <v>3178.5891666666666</v>
      </c>
      <c r="G95" s="104">
        <f t="shared" si="7"/>
        <v>746039.99</v>
      </c>
    </row>
    <row r="96" spans="2:7">
      <c r="B96" s="77">
        <v>90</v>
      </c>
      <c r="C96" s="120">
        <f t="shared" si="4"/>
        <v>0.05</v>
      </c>
      <c r="D96" s="113">
        <v>20000</v>
      </c>
      <c r="E96" s="104">
        <f t="shared" si="5"/>
        <v>16891.5</v>
      </c>
      <c r="F96" s="106">
        <f t="shared" si="6"/>
        <v>3108.4999583333333</v>
      </c>
      <c r="G96" s="104">
        <f t="shared" si="7"/>
        <v>729148.49</v>
      </c>
    </row>
    <row r="97" spans="2:7">
      <c r="B97" s="77">
        <v>91</v>
      </c>
      <c r="C97" s="120">
        <f t="shared" si="4"/>
        <v>0.05</v>
      </c>
      <c r="D97" s="113">
        <v>20000</v>
      </c>
      <c r="E97" s="104">
        <f t="shared" si="5"/>
        <v>16961.88</v>
      </c>
      <c r="F97" s="106">
        <f t="shared" si="6"/>
        <v>3038.1187083333334</v>
      </c>
      <c r="G97" s="104">
        <f t="shared" si="7"/>
        <v>712186.61</v>
      </c>
    </row>
    <row r="98" spans="2:7">
      <c r="B98" s="77">
        <v>92</v>
      </c>
      <c r="C98" s="120">
        <f t="shared" si="4"/>
        <v>0.05</v>
      </c>
      <c r="D98" s="113">
        <v>20000</v>
      </c>
      <c r="E98" s="104">
        <f t="shared" si="5"/>
        <v>17032.560000000001</v>
      </c>
      <c r="F98" s="106">
        <f t="shared" si="6"/>
        <v>2967.4442083333338</v>
      </c>
      <c r="G98" s="104">
        <f t="shared" si="7"/>
        <v>695154.05</v>
      </c>
    </row>
    <row r="99" spans="2:7">
      <c r="B99" s="77">
        <v>93</v>
      </c>
      <c r="C99" s="120">
        <f t="shared" si="4"/>
        <v>0.05</v>
      </c>
      <c r="D99" s="113">
        <v>20000</v>
      </c>
      <c r="E99" s="104">
        <f t="shared" si="5"/>
        <v>17103.52</v>
      </c>
      <c r="F99" s="106">
        <f t="shared" si="6"/>
        <v>2896.4752083333337</v>
      </c>
      <c r="G99" s="104">
        <f t="shared" si="7"/>
        <v>678050.53</v>
      </c>
    </row>
    <row r="100" spans="2:7">
      <c r="B100" s="77">
        <v>94</v>
      </c>
      <c r="C100" s="120">
        <f t="shared" si="4"/>
        <v>0.05</v>
      </c>
      <c r="D100" s="113">
        <v>20000</v>
      </c>
      <c r="E100" s="104">
        <f t="shared" si="5"/>
        <v>17174.79</v>
      </c>
      <c r="F100" s="106">
        <f t="shared" si="6"/>
        <v>2825.2105416666668</v>
      </c>
      <c r="G100" s="104">
        <f t="shared" si="7"/>
        <v>660875.74</v>
      </c>
    </row>
    <row r="101" spans="2:7">
      <c r="B101" s="77">
        <v>95</v>
      </c>
      <c r="C101" s="120">
        <f t="shared" si="4"/>
        <v>0.05</v>
      </c>
      <c r="D101" s="113">
        <v>20000</v>
      </c>
      <c r="E101" s="104">
        <f t="shared" si="5"/>
        <v>17246.349999999999</v>
      </c>
      <c r="F101" s="106">
        <f t="shared" si="6"/>
        <v>2753.648916666667</v>
      </c>
      <c r="G101" s="104">
        <f t="shared" si="7"/>
        <v>643629.39</v>
      </c>
    </row>
    <row r="102" spans="2:7">
      <c r="B102" s="77">
        <v>96</v>
      </c>
      <c r="C102" s="120">
        <f t="shared" si="4"/>
        <v>0.05</v>
      </c>
      <c r="D102" s="113">
        <v>20000</v>
      </c>
      <c r="E102" s="104">
        <f t="shared" si="5"/>
        <v>17318.21</v>
      </c>
      <c r="F102" s="106">
        <f t="shared" si="6"/>
        <v>2681.7891250000002</v>
      </c>
      <c r="G102" s="104">
        <f t="shared" si="7"/>
        <v>626311.18000000005</v>
      </c>
    </row>
    <row r="103" spans="2:7">
      <c r="B103" s="77">
        <v>97</v>
      </c>
      <c r="C103" s="120">
        <f t="shared" si="4"/>
        <v>0.05</v>
      </c>
      <c r="D103" s="113">
        <v>20000</v>
      </c>
      <c r="E103" s="104">
        <f t="shared" si="5"/>
        <v>17390.37</v>
      </c>
      <c r="F103" s="106">
        <f t="shared" si="6"/>
        <v>2609.6299166666672</v>
      </c>
      <c r="G103" s="104">
        <f t="shared" si="7"/>
        <v>608920.81000000006</v>
      </c>
    </row>
    <row r="104" spans="2:7">
      <c r="B104" s="77">
        <v>98</v>
      </c>
      <c r="C104" s="120">
        <f t="shared" si="4"/>
        <v>0.05</v>
      </c>
      <c r="D104" s="113">
        <v>20000</v>
      </c>
      <c r="E104" s="104">
        <f t="shared" si="5"/>
        <v>17462.830000000002</v>
      </c>
      <c r="F104" s="106">
        <f t="shared" si="6"/>
        <v>2537.1700416666667</v>
      </c>
      <c r="G104" s="104">
        <f t="shared" si="7"/>
        <v>591457.98</v>
      </c>
    </row>
    <row r="105" spans="2:7">
      <c r="B105" s="77">
        <v>99</v>
      </c>
      <c r="C105" s="120">
        <f t="shared" si="4"/>
        <v>0.05</v>
      </c>
      <c r="D105" s="113">
        <v>20000</v>
      </c>
      <c r="E105" s="104">
        <f t="shared" si="5"/>
        <v>17535.59</v>
      </c>
      <c r="F105" s="106">
        <f t="shared" si="6"/>
        <v>2464.40825</v>
      </c>
      <c r="G105" s="104">
        <f t="shared" si="7"/>
        <v>573922.39</v>
      </c>
    </row>
    <row r="106" spans="2:7">
      <c r="B106" s="77">
        <v>100</v>
      </c>
      <c r="C106" s="120">
        <f t="shared" si="4"/>
        <v>0.05</v>
      </c>
      <c r="D106" s="113">
        <v>20000</v>
      </c>
      <c r="E106" s="104">
        <f t="shared" si="5"/>
        <v>17608.66</v>
      </c>
      <c r="F106" s="106">
        <f t="shared" si="6"/>
        <v>2391.3432916666666</v>
      </c>
      <c r="G106" s="104">
        <f t="shared" si="7"/>
        <v>556313.73</v>
      </c>
    </row>
    <row r="107" spans="2:7">
      <c r="B107" s="77">
        <v>101</v>
      </c>
      <c r="C107" s="120">
        <f t="shared" si="4"/>
        <v>0.05</v>
      </c>
      <c r="D107" s="113">
        <v>20000</v>
      </c>
      <c r="E107" s="104">
        <f t="shared" si="5"/>
        <v>17682.03</v>
      </c>
      <c r="F107" s="106">
        <f t="shared" si="6"/>
        <v>2317.9738750000001</v>
      </c>
      <c r="G107" s="104">
        <f t="shared" si="7"/>
        <v>538631.69999999995</v>
      </c>
    </row>
    <row r="108" spans="2:7">
      <c r="B108" s="77">
        <v>102</v>
      </c>
      <c r="C108" s="120">
        <f t="shared" si="4"/>
        <v>0.05</v>
      </c>
      <c r="D108" s="113">
        <v>20000</v>
      </c>
      <c r="E108" s="104">
        <f t="shared" si="5"/>
        <v>17755.7</v>
      </c>
      <c r="F108" s="106">
        <f t="shared" si="6"/>
        <v>2244.2987499999999</v>
      </c>
      <c r="G108" s="104">
        <f t="shared" si="7"/>
        <v>520876</v>
      </c>
    </row>
    <row r="109" spans="2:7">
      <c r="B109" s="77">
        <v>103</v>
      </c>
      <c r="C109" s="120">
        <f t="shared" si="4"/>
        <v>0.05</v>
      </c>
      <c r="D109" s="113">
        <v>20000</v>
      </c>
      <c r="E109" s="104">
        <f t="shared" si="5"/>
        <v>17829.68</v>
      </c>
      <c r="F109" s="106">
        <f t="shared" si="6"/>
        <v>2170.3166666666671</v>
      </c>
      <c r="G109" s="104">
        <f t="shared" si="7"/>
        <v>503046.32</v>
      </c>
    </row>
    <row r="110" spans="2:7">
      <c r="B110" s="77">
        <v>104</v>
      </c>
      <c r="C110" s="120">
        <f t="shared" si="4"/>
        <v>0.05</v>
      </c>
      <c r="D110" s="113">
        <v>20000</v>
      </c>
      <c r="E110" s="104">
        <f t="shared" si="5"/>
        <v>17903.97</v>
      </c>
      <c r="F110" s="106">
        <f t="shared" si="6"/>
        <v>2096.0263333333337</v>
      </c>
      <c r="G110" s="104">
        <f t="shared" si="7"/>
        <v>485142.35</v>
      </c>
    </row>
    <row r="111" spans="2:7">
      <c r="B111" s="77">
        <v>105</v>
      </c>
      <c r="C111" s="120">
        <f t="shared" si="4"/>
        <v>0.05</v>
      </c>
      <c r="D111" s="113">
        <v>20000</v>
      </c>
      <c r="E111" s="104">
        <f t="shared" si="5"/>
        <v>17978.57</v>
      </c>
      <c r="F111" s="106">
        <f t="shared" si="6"/>
        <v>2021.4264583333334</v>
      </c>
      <c r="G111" s="104">
        <f t="shared" si="7"/>
        <v>467163.78</v>
      </c>
    </row>
    <row r="112" spans="2:7">
      <c r="B112" s="77">
        <v>106</v>
      </c>
      <c r="C112" s="120">
        <f t="shared" si="4"/>
        <v>0.05</v>
      </c>
      <c r="D112" s="113">
        <v>20000</v>
      </c>
      <c r="E112" s="104">
        <f t="shared" si="5"/>
        <v>18053.48</v>
      </c>
      <c r="F112" s="106">
        <f t="shared" si="6"/>
        <v>1946.5157500000003</v>
      </c>
      <c r="G112" s="104">
        <f t="shared" si="7"/>
        <v>449110.3</v>
      </c>
    </row>
    <row r="113" spans="2:7">
      <c r="B113" s="77">
        <v>107</v>
      </c>
      <c r="C113" s="120">
        <f t="shared" si="4"/>
        <v>0.05</v>
      </c>
      <c r="D113" s="113">
        <v>20000</v>
      </c>
      <c r="E113" s="104">
        <f t="shared" si="5"/>
        <v>18128.71</v>
      </c>
      <c r="F113" s="106">
        <f t="shared" si="6"/>
        <v>1871.2929166666665</v>
      </c>
      <c r="G113" s="104">
        <f t="shared" si="7"/>
        <v>430981.59</v>
      </c>
    </row>
    <row r="114" spans="2:7">
      <c r="B114" s="77">
        <v>108</v>
      </c>
      <c r="C114" s="120">
        <f t="shared" si="4"/>
        <v>0.05</v>
      </c>
      <c r="D114" s="113">
        <v>20000</v>
      </c>
      <c r="E114" s="104">
        <f t="shared" si="5"/>
        <v>18204.240000000002</v>
      </c>
      <c r="F114" s="106">
        <f t="shared" si="6"/>
        <v>1795.7566250000002</v>
      </c>
      <c r="G114" s="104">
        <f t="shared" si="7"/>
        <v>412777.35</v>
      </c>
    </row>
    <row r="115" spans="2:7">
      <c r="B115" s="77">
        <v>109</v>
      </c>
      <c r="C115" s="120">
        <f t="shared" si="4"/>
        <v>0.05</v>
      </c>
      <c r="D115" s="113">
        <v>20000</v>
      </c>
      <c r="E115" s="104">
        <f t="shared" si="5"/>
        <v>18280.09</v>
      </c>
      <c r="F115" s="106">
        <f t="shared" si="6"/>
        <v>1719.9056250000001</v>
      </c>
      <c r="G115" s="104">
        <f t="shared" si="7"/>
        <v>394497.26</v>
      </c>
    </row>
    <row r="116" spans="2:7">
      <c r="B116" s="77">
        <v>110</v>
      </c>
      <c r="C116" s="120">
        <f t="shared" si="4"/>
        <v>0.05</v>
      </c>
      <c r="D116" s="113">
        <v>20000</v>
      </c>
      <c r="E116" s="104">
        <f t="shared" si="5"/>
        <v>18356.259999999998</v>
      </c>
      <c r="F116" s="106">
        <f t="shared" si="6"/>
        <v>1643.7385833333335</v>
      </c>
      <c r="G116" s="104">
        <f t="shared" si="7"/>
        <v>376141</v>
      </c>
    </row>
    <row r="117" spans="2:7">
      <c r="B117" s="77">
        <v>111</v>
      </c>
      <c r="C117" s="120">
        <f t="shared" si="4"/>
        <v>0.05</v>
      </c>
      <c r="D117" s="113">
        <v>20000</v>
      </c>
      <c r="E117" s="104">
        <f t="shared" si="5"/>
        <v>18432.75</v>
      </c>
      <c r="F117" s="106">
        <f t="shared" si="6"/>
        <v>1567.2541666666666</v>
      </c>
      <c r="G117" s="104">
        <f t="shared" si="7"/>
        <v>357708.25</v>
      </c>
    </row>
    <row r="118" spans="2:7">
      <c r="B118" s="77">
        <v>112</v>
      </c>
      <c r="C118" s="120">
        <f t="shared" si="4"/>
        <v>0.05</v>
      </c>
      <c r="D118" s="113">
        <v>20000</v>
      </c>
      <c r="E118" s="104">
        <f t="shared" si="5"/>
        <v>18509.55</v>
      </c>
      <c r="F118" s="106">
        <f t="shared" si="6"/>
        <v>1490.4510416666669</v>
      </c>
      <c r="G118" s="104">
        <f t="shared" si="7"/>
        <v>339198.7</v>
      </c>
    </row>
    <row r="119" spans="2:7">
      <c r="B119" s="77">
        <v>113</v>
      </c>
      <c r="C119" s="120">
        <f t="shared" si="4"/>
        <v>0.05</v>
      </c>
      <c r="D119" s="113">
        <v>20000</v>
      </c>
      <c r="E119" s="104">
        <f t="shared" si="5"/>
        <v>18586.669999999998</v>
      </c>
      <c r="F119" s="106">
        <f t="shared" si="6"/>
        <v>1413.3279166666669</v>
      </c>
      <c r="G119" s="104">
        <f t="shared" si="7"/>
        <v>320612.03000000003</v>
      </c>
    </row>
    <row r="120" spans="2:7">
      <c r="B120" s="77">
        <v>114</v>
      </c>
      <c r="C120" s="120">
        <f t="shared" si="4"/>
        <v>0.05</v>
      </c>
      <c r="D120" s="113">
        <v>20000</v>
      </c>
      <c r="E120" s="104">
        <f t="shared" si="5"/>
        <v>18664.12</v>
      </c>
      <c r="F120" s="106">
        <f t="shared" si="6"/>
        <v>1335.8834583333335</v>
      </c>
      <c r="G120" s="104">
        <f t="shared" si="7"/>
        <v>301947.90999999997</v>
      </c>
    </row>
    <row r="121" spans="2:7">
      <c r="B121" s="77">
        <v>115</v>
      </c>
      <c r="C121" s="120">
        <f t="shared" si="4"/>
        <v>0.05</v>
      </c>
      <c r="D121" s="113">
        <v>20000</v>
      </c>
      <c r="E121" s="104">
        <f t="shared" si="5"/>
        <v>18741.88</v>
      </c>
      <c r="F121" s="106">
        <f t="shared" si="6"/>
        <v>1258.1162916666665</v>
      </c>
      <c r="G121" s="104">
        <f t="shared" si="7"/>
        <v>283206.03000000003</v>
      </c>
    </row>
    <row r="122" spans="2:7">
      <c r="B122" s="77">
        <v>116</v>
      </c>
      <c r="C122" s="120">
        <f t="shared" si="4"/>
        <v>0.05</v>
      </c>
      <c r="D122" s="113">
        <v>20000</v>
      </c>
      <c r="E122" s="104">
        <f t="shared" si="5"/>
        <v>18819.97</v>
      </c>
      <c r="F122" s="106">
        <f t="shared" si="6"/>
        <v>1180.0251250000001</v>
      </c>
      <c r="G122" s="104">
        <f t="shared" si="7"/>
        <v>264386.06</v>
      </c>
    </row>
    <row r="123" spans="2:7">
      <c r="B123" s="115">
        <v>117</v>
      </c>
      <c r="C123" s="120">
        <f t="shared" si="4"/>
        <v>0.05</v>
      </c>
      <c r="D123" s="116">
        <f>G122+F123</f>
        <v>265487.66858333332</v>
      </c>
      <c r="E123" s="117">
        <f t="shared" si="5"/>
        <v>264386.06</v>
      </c>
      <c r="F123" s="118">
        <f t="shared" si="6"/>
        <v>1101.6085833333334</v>
      </c>
      <c r="G123" s="117">
        <f t="shared" si="7"/>
        <v>0</v>
      </c>
    </row>
    <row r="124" spans="2:7">
      <c r="B124" s="77"/>
      <c r="C124" s="96"/>
      <c r="D124" s="113"/>
      <c r="E124" s="104"/>
      <c r="F124" s="106"/>
      <c r="G124" s="104"/>
    </row>
    <row r="125" spans="2:7">
      <c r="B125" s="77"/>
      <c r="C125" s="96"/>
      <c r="D125" s="113"/>
      <c r="E125" s="104"/>
      <c r="F125" s="106"/>
      <c r="G125" s="10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46A9BBB96DF048A760743FF13AA972" ma:contentTypeVersion="2" ma:contentTypeDescription="Create a new document." ma:contentTypeScope="" ma:versionID="c6c42180ba5f13ce81d61a324830c152">
  <xsd:schema xmlns:xsd="http://www.w3.org/2001/XMLSchema" xmlns:xs="http://www.w3.org/2001/XMLSchema" xmlns:p="http://schemas.microsoft.com/office/2006/metadata/properties" xmlns:ns2="6edbbb08-419d-4575-b3e0-14ba92d67cb4" targetNamespace="http://schemas.microsoft.com/office/2006/metadata/properties" ma:root="true" ma:fieldsID="b57f8f32dae26bdc30b922e1a4696e8c" ns2:_="">
    <xsd:import namespace="6edbbb08-419d-4575-b3e0-14ba92d67cb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dbbb08-419d-4575-b3e0-14ba92d67c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1A7082-F778-4D5B-AAFB-FC74965B2476}">
  <ds:schemaRefs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CC0A9D4-85B3-4739-B9C6-FF751A839EB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C308ED-53B8-48E9-B010-05105A23FF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Invest analysis</vt:lpstr>
      <vt:lpstr>Sheet1</vt:lpstr>
      <vt:lpstr>Payback period</vt:lpstr>
      <vt:lpstr>Cash conversion cycle</vt:lpstr>
      <vt:lpstr>Flat rate - ผ่อนรถ</vt:lpstr>
      <vt:lpstr>Effective rate - โป๊ะได้</vt:lpstr>
    </vt:vector>
  </TitlesOfParts>
  <Company>Ingredion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Nattawut Chatwiriyacharoen</dc:creator>
  <cp:lastModifiedBy>Suwanna Sayruamyat</cp:lastModifiedBy>
  <dcterms:created xsi:type="dcterms:W3CDTF">2015-01-26T14:25:31Z</dcterms:created>
  <dcterms:modified xsi:type="dcterms:W3CDTF">2023-01-25T08:30:29Z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0x0101004246A9BBB96DF048A760743FF13AA972</vt:lpwstr>
  </property>
</Properties>
</file>