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13_ncr:1_{7CFF3500-536B-4F57-9E0D-E37C062370C9}" xr6:coauthVersionLast="47" xr6:coauthVersionMax="47" xr10:uidLastSave="{00000000-0000-0000-0000-000000000000}"/>
  <bookViews>
    <workbookView xWindow="1770" yWindow="1960" windowWidth="25350" windowHeight="15540" activeTab="3" xr2:uid="{F8165426-73A0-DC42-BD9B-66B03F911B76}"/>
  </bookViews>
  <sheets>
    <sheet name="Ratio analysis" sheetId="3" r:id="rId1"/>
    <sheet name="ตัวอย่างงบดุล" sheetId="4" r:id="rId2"/>
    <sheet name="CRA พืชอายุสั้น" sheetId="6" r:id="rId3"/>
    <sheet name="CRA พืชอายุยาว" sheetId="8" r:id="rId4"/>
    <sheet name="CRA สุกรขุน" sheetId="7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4" i="8" l="1"/>
  <c r="X94" i="8"/>
  <c r="Y94" i="8"/>
  <c r="Z94" i="8"/>
  <c r="AA94" i="8"/>
  <c r="W95" i="8"/>
  <c r="X95" i="8"/>
  <c r="Y95" i="8"/>
  <c r="Z95" i="8"/>
  <c r="AA95" i="8"/>
  <c r="W96" i="8"/>
  <c r="X96" i="8"/>
  <c r="Y96" i="8"/>
  <c r="Z96" i="8"/>
  <c r="AA96" i="8"/>
  <c r="V95" i="8"/>
  <c r="V96" i="8"/>
  <c r="V94" i="8"/>
  <c r="W91" i="8"/>
  <c r="X91" i="8"/>
  <c r="Y91" i="8"/>
  <c r="Z91" i="8"/>
  <c r="AA91" i="8"/>
  <c r="W92" i="8"/>
  <c r="X92" i="8"/>
  <c r="Y92" i="8"/>
  <c r="Z92" i="8"/>
  <c r="AA92" i="8"/>
  <c r="W93" i="8"/>
  <c r="X93" i="8"/>
  <c r="Y93" i="8"/>
  <c r="Z93" i="8"/>
  <c r="AA93" i="8"/>
  <c r="V92" i="8"/>
  <c r="V93" i="8"/>
  <c r="V91" i="8"/>
  <c r="AA88" i="8"/>
  <c r="X88" i="8"/>
  <c r="Y88" i="8" s="1"/>
  <c r="Z88" i="8" s="1"/>
  <c r="W88" i="8"/>
  <c r="V88" i="8"/>
  <c r="W89" i="8"/>
  <c r="X89" i="8"/>
  <c r="Y89" i="8"/>
  <c r="Z89" i="8"/>
  <c r="V89" i="8"/>
  <c r="AA89" i="8"/>
  <c r="AA64" i="8"/>
  <c r="AA84" i="8"/>
  <c r="AA90" i="8" s="1"/>
  <c r="AA71" i="8"/>
  <c r="AA65" i="8"/>
  <c r="AA74" i="8"/>
  <c r="AA67" i="8"/>
  <c r="AA66" i="8"/>
  <c r="W90" i="8"/>
  <c r="X90" i="8"/>
  <c r="Y90" i="8"/>
  <c r="Z90" i="8"/>
  <c r="V90" i="8"/>
  <c r="X87" i="8"/>
  <c r="Y87" i="8"/>
  <c r="Z87" i="8"/>
  <c r="AA87" i="8"/>
  <c r="W87" i="8"/>
  <c r="V87" i="8"/>
  <c r="V86" i="8"/>
  <c r="V85" i="8"/>
  <c r="X85" i="8"/>
  <c r="Y85" i="8"/>
  <c r="Z85" i="8"/>
  <c r="X86" i="8"/>
  <c r="Y86" i="8"/>
  <c r="Z86" i="8"/>
  <c r="W86" i="8"/>
  <c r="W85" i="8"/>
  <c r="AA86" i="8"/>
  <c r="AA68" i="8"/>
  <c r="AA69" i="8"/>
  <c r="AA70" i="8"/>
  <c r="AA72" i="8"/>
  <c r="AA73" i="8"/>
  <c r="AA75" i="8"/>
  <c r="AA76" i="8"/>
  <c r="AA77" i="8"/>
  <c r="AA78" i="8"/>
  <c r="AA79" i="8"/>
  <c r="AA80" i="8"/>
  <c r="AA81" i="8"/>
  <c r="AA82" i="8"/>
  <c r="AA83" i="8"/>
  <c r="Y65" i="8"/>
  <c r="Z65" i="8"/>
  <c r="Y66" i="8"/>
  <c r="Z66" i="8"/>
  <c r="Y67" i="8"/>
  <c r="Z67" i="8"/>
  <c r="Y68" i="8"/>
  <c r="Z68" i="8"/>
  <c r="Y69" i="8"/>
  <c r="Z69" i="8"/>
  <c r="Y70" i="8"/>
  <c r="Z70" i="8"/>
  <c r="Y71" i="8"/>
  <c r="Z71" i="8"/>
  <c r="Y72" i="8"/>
  <c r="Z72" i="8"/>
  <c r="Y73" i="8"/>
  <c r="Z73" i="8"/>
  <c r="Y74" i="8"/>
  <c r="Z74" i="8"/>
  <c r="Y75" i="8"/>
  <c r="Z75" i="8"/>
  <c r="Y76" i="8"/>
  <c r="Z76" i="8"/>
  <c r="Y77" i="8"/>
  <c r="Z77" i="8"/>
  <c r="Y78" i="8"/>
  <c r="Z78" i="8"/>
  <c r="Y79" i="8"/>
  <c r="Z79" i="8"/>
  <c r="Y80" i="8"/>
  <c r="Z80" i="8"/>
  <c r="Y81" i="8"/>
  <c r="Z81" i="8"/>
  <c r="Y82" i="8"/>
  <c r="Z82" i="8"/>
  <c r="Y83" i="8"/>
  <c r="Z83" i="8"/>
  <c r="Y84" i="8"/>
  <c r="Z84" i="8"/>
  <c r="Z64" i="8"/>
  <c r="Y64" i="8"/>
  <c r="W8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64" i="8"/>
  <c r="U65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64" i="8"/>
  <c r="Y50" i="8"/>
  <c r="Y51" i="8" s="1"/>
  <c r="R35" i="8"/>
  <c r="S35" i="8" s="1"/>
  <c r="X42" i="8"/>
  <c r="W41" i="8"/>
  <c r="Y41" i="8" s="1"/>
  <c r="Y36" i="8"/>
  <c r="Y37" i="8"/>
  <c r="Y38" i="8"/>
  <c r="S36" i="8"/>
  <c r="S37" i="8"/>
  <c r="S38" i="8"/>
  <c r="W36" i="8"/>
  <c r="W33" i="8"/>
  <c r="W38" i="8"/>
  <c r="W32" i="8"/>
  <c r="W31" i="8"/>
  <c r="X46" i="8"/>
  <c r="Y46" i="8" s="1"/>
  <c r="X45" i="8"/>
  <c r="Y45" i="8" s="1"/>
  <c r="R46" i="8"/>
  <c r="U46" i="8"/>
  <c r="V46" i="8" s="1"/>
  <c r="U45" i="8"/>
  <c r="V45" i="8" s="1"/>
  <c r="T41" i="8"/>
  <c r="V41" i="8" s="1"/>
  <c r="Q41" i="8"/>
  <c r="S41" i="8" s="1"/>
  <c r="R45" i="8"/>
  <c r="X44" i="8"/>
  <c r="X43" i="8" s="1"/>
  <c r="U44" i="8"/>
  <c r="R44" i="8"/>
  <c r="Q28" i="8"/>
  <c r="Q34" i="8"/>
  <c r="W43" i="8"/>
  <c r="Y40" i="8"/>
  <c r="Y39" i="8"/>
  <c r="W34" i="8"/>
  <c r="Y33" i="8"/>
  <c r="Y32" i="8"/>
  <c r="Y30" i="8"/>
  <c r="Y29" i="8"/>
  <c r="X28" i="8"/>
  <c r="T36" i="8"/>
  <c r="T40" i="8"/>
  <c r="V40" i="8" s="1"/>
  <c r="Q40" i="8"/>
  <c r="T32" i="8"/>
  <c r="V32" i="8" s="1"/>
  <c r="T31" i="8"/>
  <c r="Q36" i="8"/>
  <c r="V50" i="8"/>
  <c r="T43" i="8"/>
  <c r="V39" i="8"/>
  <c r="T38" i="8"/>
  <c r="V38" i="8" s="1"/>
  <c r="T33" i="8"/>
  <c r="V33" i="8" s="1"/>
  <c r="V31" i="8"/>
  <c r="V30" i="8"/>
  <c r="V29" i="8"/>
  <c r="U28" i="8"/>
  <c r="Q32" i="8"/>
  <c r="Q31" i="8"/>
  <c r="S30" i="8"/>
  <c r="S29" i="8"/>
  <c r="Q37" i="8"/>
  <c r="R28" i="8"/>
  <c r="Q29" i="8"/>
  <c r="S50" i="8"/>
  <c r="S45" i="8"/>
  <c r="Q43" i="8"/>
  <c r="S40" i="8"/>
  <c r="S39" i="8"/>
  <c r="S32" i="8"/>
  <c r="S31" i="8"/>
  <c r="O5" i="3"/>
  <c r="O4" i="3"/>
  <c r="O3" i="3"/>
  <c r="AA85" i="8" l="1"/>
  <c r="U35" i="8"/>
  <c r="Y54" i="8"/>
  <c r="Y57" i="8"/>
  <c r="Y52" i="8"/>
  <c r="Y58" i="8" s="1"/>
  <c r="Y55" i="8"/>
  <c r="W28" i="8"/>
  <c r="W27" i="8" s="1"/>
  <c r="W47" i="8" s="1"/>
  <c r="U43" i="8"/>
  <c r="S44" i="8"/>
  <c r="R43" i="8"/>
  <c r="Y31" i="8"/>
  <c r="Y28" i="8" s="1"/>
  <c r="Y44" i="8"/>
  <c r="Y43" i="8" s="1"/>
  <c r="S33" i="8"/>
  <c r="S28" i="8" s="1"/>
  <c r="T34" i="8"/>
  <c r="T28" i="8"/>
  <c r="V28" i="8"/>
  <c r="V35" i="8"/>
  <c r="V34" i="8" s="1"/>
  <c r="V44" i="8"/>
  <c r="V43" i="8" s="1"/>
  <c r="R34" i="8"/>
  <c r="B40" i="6"/>
  <c r="C40" i="6" s="1"/>
  <c r="F34" i="6"/>
  <c r="B30" i="6" s="1"/>
  <c r="D31" i="6"/>
  <c r="B31" i="6"/>
  <c r="C29" i="6"/>
  <c r="I27" i="6"/>
  <c r="B25" i="6"/>
  <c r="D24" i="6"/>
  <c r="B24" i="6"/>
  <c r="I23" i="6"/>
  <c r="B23" i="6"/>
  <c r="B20" i="6"/>
  <c r="B18" i="6"/>
  <c r="D18" i="6" s="1"/>
  <c r="B17" i="6"/>
  <c r="B16" i="6" s="1"/>
  <c r="D16" i="6" s="1"/>
  <c r="B15" i="6"/>
  <c r="D15" i="6" s="1"/>
  <c r="B14" i="6"/>
  <c r="K13" i="6"/>
  <c r="B13" i="6"/>
  <c r="B12" i="6" s="1"/>
  <c r="B10" i="6" s="1"/>
  <c r="K12" i="6"/>
  <c r="C12" i="6"/>
  <c r="C11" i="6"/>
  <c r="D11" i="6" s="1"/>
  <c r="T9" i="6"/>
  <c r="P9" i="6"/>
  <c r="L9" i="6"/>
  <c r="Q9" i="6" s="1"/>
  <c r="R9" i="6" s="1"/>
  <c r="B9" i="6"/>
  <c r="D9" i="6" s="1"/>
  <c r="T8" i="6"/>
  <c r="P8" i="6"/>
  <c r="L8" i="6"/>
  <c r="Q8" i="6" s="1"/>
  <c r="R8" i="6" s="1"/>
  <c r="B8" i="6"/>
  <c r="D8" i="6" s="1"/>
  <c r="T7" i="6"/>
  <c r="P7" i="6"/>
  <c r="L7" i="6"/>
  <c r="Q7" i="6" s="1"/>
  <c r="R7" i="6" s="1"/>
  <c r="B7" i="6"/>
  <c r="D7" i="6" s="1"/>
  <c r="T6" i="6"/>
  <c r="P6" i="6"/>
  <c r="L6" i="6"/>
  <c r="Q6" i="6" s="1"/>
  <c r="R6" i="6" s="1"/>
  <c r="B6" i="6"/>
  <c r="D6" i="6" s="1"/>
  <c r="T5" i="6"/>
  <c r="P5" i="6"/>
  <c r="L5" i="6"/>
  <c r="Q5" i="6" s="1"/>
  <c r="R5" i="6" s="1"/>
  <c r="C5" i="6"/>
  <c r="T4" i="6"/>
  <c r="Q4" i="6"/>
  <c r="R4" i="6" s="1"/>
  <c r="P4" i="6"/>
  <c r="L4" i="6"/>
  <c r="T3" i="6"/>
  <c r="T10" i="6" s="1"/>
  <c r="B21" i="6" s="1"/>
  <c r="D21" i="6" s="1"/>
  <c r="K3" i="6"/>
  <c r="L3" i="6" s="1"/>
  <c r="H29" i="8"/>
  <c r="C11" i="8" s="1"/>
  <c r="D11" i="8" s="1"/>
  <c r="AC19" i="8"/>
  <c r="Y19" i="8"/>
  <c r="Z19" i="8" s="1"/>
  <c r="AA19" i="8" s="1"/>
  <c r="S19" i="8"/>
  <c r="V19" i="8" s="1"/>
  <c r="X19" i="8" s="1"/>
  <c r="AC18" i="8"/>
  <c r="Y18" i="8"/>
  <c r="Z18" i="8" s="1"/>
  <c r="AA18" i="8" s="1"/>
  <c r="S18" i="8"/>
  <c r="V18" i="8" s="1"/>
  <c r="X18" i="8" s="1"/>
  <c r="C18" i="8"/>
  <c r="D18" i="8" s="1"/>
  <c r="AC17" i="8"/>
  <c r="Y17" i="8"/>
  <c r="Z17" i="8" s="1"/>
  <c r="AA17" i="8" s="1"/>
  <c r="S17" i="8"/>
  <c r="V17" i="8" s="1"/>
  <c r="X17" i="8" s="1"/>
  <c r="B17" i="8"/>
  <c r="AC16" i="8"/>
  <c r="Y16" i="8"/>
  <c r="Z16" i="8" s="1"/>
  <c r="AA16" i="8" s="1"/>
  <c r="S16" i="8"/>
  <c r="V16" i="8" s="1"/>
  <c r="X16" i="8" s="1"/>
  <c r="AC15" i="8"/>
  <c r="Y15" i="8"/>
  <c r="Z15" i="8" s="1"/>
  <c r="AA15" i="8" s="1"/>
  <c r="S15" i="8"/>
  <c r="V15" i="8" s="1"/>
  <c r="X15" i="8" s="1"/>
  <c r="B15" i="8"/>
  <c r="D15" i="8" s="1"/>
  <c r="AC14" i="8"/>
  <c r="Y14" i="8"/>
  <c r="Z14" i="8" s="1"/>
  <c r="AA14" i="8" s="1"/>
  <c r="S14" i="8"/>
  <c r="V14" i="8" s="1"/>
  <c r="X14" i="8" s="1"/>
  <c r="B14" i="8"/>
  <c r="D14" i="8" s="1"/>
  <c r="AC13" i="8"/>
  <c r="Y13" i="8"/>
  <c r="Z13" i="8" s="1"/>
  <c r="AA13" i="8" s="1"/>
  <c r="S13" i="8"/>
  <c r="V13" i="8" s="1"/>
  <c r="X13" i="8" s="1"/>
  <c r="B13" i="8"/>
  <c r="D13" i="8" s="1"/>
  <c r="AC12" i="8"/>
  <c r="Y12" i="8"/>
  <c r="Z12" i="8" s="1"/>
  <c r="AA12" i="8" s="1"/>
  <c r="S12" i="8"/>
  <c r="V12" i="8" s="1"/>
  <c r="X12" i="8" s="1"/>
  <c r="B12" i="8"/>
  <c r="B10" i="8" s="1"/>
  <c r="AC11" i="8"/>
  <c r="Y11" i="8"/>
  <c r="Z11" i="8" s="1"/>
  <c r="AA11" i="8" s="1"/>
  <c r="S11" i="8"/>
  <c r="V11" i="8" s="1"/>
  <c r="X11" i="8" s="1"/>
  <c r="AC10" i="8"/>
  <c r="Y10" i="8"/>
  <c r="Z10" i="8" s="1"/>
  <c r="AA10" i="8" s="1"/>
  <c r="S10" i="8"/>
  <c r="V10" i="8" s="1"/>
  <c r="X10" i="8" s="1"/>
  <c r="AC9" i="8"/>
  <c r="Y9" i="8"/>
  <c r="Z9" i="8" s="1"/>
  <c r="AA9" i="8" s="1"/>
  <c r="S9" i="8"/>
  <c r="V9" i="8" s="1"/>
  <c r="X9" i="8" s="1"/>
  <c r="AC8" i="8"/>
  <c r="Y8" i="8"/>
  <c r="Z8" i="8" s="1"/>
  <c r="AA8" i="8" s="1"/>
  <c r="S8" i="8"/>
  <c r="V8" i="8" s="1"/>
  <c r="X8" i="8" s="1"/>
  <c r="B8" i="8"/>
  <c r="D8" i="8" s="1"/>
  <c r="AC7" i="8"/>
  <c r="Y7" i="8"/>
  <c r="Z7" i="8" s="1"/>
  <c r="AA7" i="8" s="1"/>
  <c r="S7" i="8"/>
  <c r="V7" i="8" s="1"/>
  <c r="X7" i="8" s="1"/>
  <c r="B7" i="8"/>
  <c r="D7" i="8" s="1"/>
  <c r="AC6" i="8"/>
  <c r="Y6" i="8"/>
  <c r="Z6" i="8" s="1"/>
  <c r="AA6" i="8" s="1"/>
  <c r="S6" i="8"/>
  <c r="V6" i="8" s="1"/>
  <c r="X6" i="8" s="1"/>
  <c r="C6" i="8"/>
  <c r="AC5" i="8"/>
  <c r="Q5" i="8"/>
  <c r="Y5" i="8" s="1"/>
  <c r="Z5" i="8" s="1"/>
  <c r="AA5" i="8" s="1"/>
  <c r="H5" i="8"/>
  <c r="H8" i="8" s="1"/>
  <c r="D24" i="8" s="1"/>
  <c r="AC4" i="8"/>
  <c r="Y4" i="8"/>
  <c r="Z4" i="8" s="1"/>
  <c r="AA4" i="8" s="1"/>
  <c r="S4" i="8"/>
  <c r="V4" i="8" s="1"/>
  <c r="X4" i="8" s="1"/>
  <c r="AC3" i="8"/>
  <c r="U3" i="8"/>
  <c r="Y3" i="8" s="1"/>
  <c r="Z3" i="8" s="1"/>
  <c r="S3" i="8"/>
  <c r="V3" i="8" s="1"/>
  <c r="X3" i="8" s="1"/>
  <c r="F33" i="7"/>
  <c r="B25" i="7"/>
  <c r="X35" i="8" l="1"/>
  <c r="U34" i="8"/>
  <c r="Y42" i="8"/>
  <c r="W49" i="8"/>
  <c r="W48" i="8"/>
  <c r="T27" i="8"/>
  <c r="U42" i="8" s="1"/>
  <c r="T47" i="8"/>
  <c r="B9" i="8"/>
  <c r="D9" i="8" s="1"/>
  <c r="D6" i="8" s="1"/>
  <c r="AC20" i="8"/>
  <c r="Q3" i="6"/>
  <c r="R3" i="6" s="1"/>
  <c r="R10" i="6" s="1"/>
  <c r="C27" i="6" s="1"/>
  <c r="D27" i="6" s="1"/>
  <c r="P3" i="6"/>
  <c r="P10" i="6" s="1"/>
  <c r="L10" i="6"/>
  <c r="D5" i="6"/>
  <c r="B19" i="6"/>
  <c r="B29" i="6"/>
  <c r="D30" i="6"/>
  <c r="D29" i="6" s="1"/>
  <c r="D20" i="6"/>
  <c r="B5" i="6"/>
  <c r="B4" i="6" s="1"/>
  <c r="C10" i="6"/>
  <c r="D13" i="6"/>
  <c r="Z20" i="8"/>
  <c r="AA3" i="8"/>
  <c r="S5" i="8"/>
  <c r="V5" i="8" s="1"/>
  <c r="X5" i="8" s="1"/>
  <c r="X20" i="8" s="1"/>
  <c r="C19" i="8" s="1"/>
  <c r="D12" i="8"/>
  <c r="C10" i="8"/>
  <c r="X34" i="8" l="1"/>
  <c r="X27" i="8" s="1"/>
  <c r="X47" i="8" s="1"/>
  <c r="Y35" i="8"/>
  <c r="Y34" i="8" s="1"/>
  <c r="S34" i="8"/>
  <c r="Q27" i="8"/>
  <c r="AA20" i="8"/>
  <c r="T49" i="8"/>
  <c r="T48" i="8"/>
  <c r="V42" i="8"/>
  <c r="U27" i="8"/>
  <c r="B6" i="8"/>
  <c r="B5" i="8" s="1"/>
  <c r="C16" i="8" s="1"/>
  <c r="D16" i="8" s="1"/>
  <c r="D12" i="6"/>
  <c r="D19" i="6"/>
  <c r="H34" i="6"/>
  <c r="B28" i="6"/>
  <c r="B34" i="6" s="1"/>
  <c r="C34" i="6" s="1"/>
  <c r="B38" i="6"/>
  <c r="C38" i="6" s="1"/>
  <c r="C22" i="6"/>
  <c r="D19" i="8"/>
  <c r="C5" i="8"/>
  <c r="D10" i="8"/>
  <c r="D26" i="8" l="1"/>
  <c r="D32" i="8" s="1"/>
  <c r="B21" i="8"/>
  <c r="D25" i="8" s="1"/>
  <c r="Y27" i="8"/>
  <c r="R42" i="8"/>
  <c r="R27" i="8" s="1"/>
  <c r="R47" i="8" s="1"/>
  <c r="Q47" i="8"/>
  <c r="X48" i="8"/>
  <c r="X49" i="8"/>
  <c r="Y47" i="8"/>
  <c r="Y53" i="8" s="1"/>
  <c r="S46" i="8"/>
  <c r="S43" i="8" s="1"/>
  <c r="C20" i="8"/>
  <c r="U47" i="8"/>
  <c r="V27" i="8"/>
  <c r="D22" i="6"/>
  <c r="C26" i="6"/>
  <c r="C4" i="6"/>
  <c r="D10" i="6"/>
  <c r="D5" i="8"/>
  <c r="E25" i="8" l="1"/>
  <c r="D28" i="8"/>
  <c r="B22" i="8"/>
  <c r="D31" i="8"/>
  <c r="B23" i="8"/>
  <c r="D29" i="8"/>
  <c r="E26" i="8"/>
  <c r="Y59" i="8"/>
  <c r="Y56" i="8"/>
  <c r="Y49" i="8"/>
  <c r="Y48" i="8"/>
  <c r="S42" i="8"/>
  <c r="Q49" i="8"/>
  <c r="Q48" i="8"/>
  <c r="D20" i="8"/>
  <c r="D17" i="8" s="1"/>
  <c r="C17" i="8"/>
  <c r="C21" i="8" s="1"/>
  <c r="C22" i="8" s="1"/>
  <c r="U49" i="8"/>
  <c r="U48" i="8"/>
  <c r="V47" i="8"/>
  <c r="D26" i="6"/>
  <c r="C23" i="6"/>
  <c r="C28" i="6"/>
  <c r="D28" i="6" s="1"/>
  <c r="B39" i="6"/>
  <c r="C39" i="6" s="1"/>
  <c r="D4" i="6"/>
  <c r="E22" i="6"/>
  <c r="S27" i="8" l="1"/>
  <c r="D21" i="8"/>
  <c r="E17" i="8" s="1"/>
  <c r="C23" i="8"/>
  <c r="V49" i="8"/>
  <c r="V48" i="8"/>
  <c r="E4" i="6"/>
  <c r="B35" i="6"/>
  <c r="C35" i="6" s="1"/>
  <c r="B42" i="6"/>
  <c r="C42" i="6" s="1"/>
  <c r="F36" i="6" s="1"/>
  <c r="E25" i="6"/>
  <c r="E28" i="6"/>
  <c r="E17" i="6"/>
  <c r="E14" i="6"/>
  <c r="E24" i="6"/>
  <c r="E21" i="6"/>
  <c r="E8" i="6"/>
  <c r="E7" i="6"/>
  <c r="E18" i="6"/>
  <c r="E16" i="6"/>
  <c r="E11" i="6"/>
  <c r="E9" i="6"/>
  <c r="E6" i="6"/>
  <c r="E15" i="6"/>
  <c r="E27" i="6"/>
  <c r="E13" i="6"/>
  <c r="E20" i="6"/>
  <c r="B36" i="6"/>
  <c r="C36" i="6" s="1"/>
  <c r="E5" i="6"/>
  <c r="E19" i="6"/>
  <c r="E12" i="6"/>
  <c r="B41" i="6"/>
  <c r="C41" i="6" s="1"/>
  <c r="D23" i="6"/>
  <c r="E23" i="6" s="1"/>
  <c r="E10" i="6"/>
  <c r="E26" i="6"/>
  <c r="D22" i="8"/>
  <c r="E14" i="8"/>
  <c r="E21" i="8"/>
  <c r="D23" i="8"/>
  <c r="E7" i="8"/>
  <c r="E15" i="8"/>
  <c r="D27" i="8"/>
  <c r="E8" i="8"/>
  <c r="E18" i="8"/>
  <c r="E13" i="8"/>
  <c r="E9" i="8"/>
  <c r="E20" i="8"/>
  <c r="E6" i="8"/>
  <c r="E12" i="8"/>
  <c r="E16" i="8"/>
  <c r="E10" i="8"/>
  <c r="E19" i="8"/>
  <c r="E5" i="8"/>
  <c r="E11" i="8" l="1"/>
  <c r="R48" i="8"/>
  <c r="R49" i="8"/>
  <c r="S47" i="8"/>
  <c r="D33" i="8"/>
  <c r="D30" i="8"/>
  <c r="E27" i="8"/>
  <c r="S49" i="8" l="1"/>
  <c r="S48" i="8"/>
  <c r="P9" i="7"/>
  <c r="C34" i="7"/>
  <c r="C35" i="7"/>
  <c r="C33" i="7"/>
  <c r="B35" i="7"/>
  <c r="B34" i="7"/>
  <c r="B33" i="7"/>
  <c r="C30" i="7"/>
  <c r="C29" i="7"/>
  <c r="F29" i="7"/>
  <c r="C17" i="7"/>
  <c r="B20" i="7"/>
  <c r="C19" i="7"/>
  <c r="B14" i="7"/>
  <c r="B13" i="7"/>
  <c r="C10" i="7"/>
  <c r="B8" i="7"/>
  <c r="B7" i="7"/>
  <c r="B6" i="7"/>
  <c r="C9" i="7"/>
  <c r="B9" i="7"/>
  <c r="C5" i="7"/>
  <c r="T4" i="7"/>
  <c r="T5" i="7"/>
  <c r="T6" i="7"/>
  <c r="T7" i="7"/>
  <c r="T8" i="7"/>
  <c r="T9" i="7"/>
  <c r="T3" i="7"/>
  <c r="P5" i="7"/>
  <c r="L4" i="7"/>
  <c r="L5" i="7"/>
  <c r="Q5" i="7" s="1"/>
  <c r="R5" i="7" s="1"/>
  <c r="L6" i="7"/>
  <c r="Q6" i="7" s="1"/>
  <c r="R6" i="7" s="1"/>
  <c r="L7" i="7"/>
  <c r="Q7" i="7" s="1"/>
  <c r="R7" i="7" s="1"/>
  <c r="L8" i="7"/>
  <c r="P8" i="7" s="1"/>
  <c r="L9" i="7"/>
  <c r="Q9" i="7" s="1"/>
  <c r="R9" i="7" s="1"/>
  <c r="K13" i="7"/>
  <c r="K12" i="7"/>
  <c r="L3" i="7"/>
  <c r="P3" i="7" s="1"/>
  <c r="B5" i="7" l="1"/>
  <c r="T10" i="7"/>
  <c r="Q8" i="7"/>
  <c r="R8" i="7" s="1"/>
  <c r="P7" i="7"/>
  <c r="P6" i="7"/>
  <c r="P4" i="7"/>
  <c r="Q4" i="7"/>
  <c r="R4" i="7" s="1"/>
  <c r="L10" i="7"/>
  <c r="Q3" i="7"/>
  <c r="R3" i="7" s="1"/>
  <c r="R10" i="7" l="1"/>
  <c r="C22" i="7" s="1"/>
  <c r="P10" i="7"/>
  <c r="C21" i="7" s="1"/>
  <c r="C24" i="7" l="1"/>
  <c r="B24" i="7"/>
  <c r="D26" i="7" l="1"/>
  <c r="D25" i="7"/>
  <c r="D22" i="7"/>
  <c r="D21" i="7"/>
  <c r="D19" i="7"/>
  <c r="C18" i="7"/>
  <c r="B36" i="7" s="1"/>
  <c r="C36" i="7" s="1"/>
  <c r="B18" i="7"/>
  <c r="D16" i="7"/>
  <c r="D15" i="7"/>
  <c r="D14" i="7"/>
  <c r="D13" i="7"/>
  <c r="B12" i="7"/>
  <c r="D11" i="7"/>
  <c r="D10" i="7"/>
  <c r="D8" i="7"/>
  <c r="D6" i="7"/>
  <c r="D5" i="7" s="1"/>
  <c r="K13" i="3"/>
  <c r="K9" i="3"/>
  <c r="K6" i="3"/>
  <c r="E17" i="4"/>
  <c r="E16" i="4"/>
  <c r="E15" i="4"/>
  <c r="E12" i="4"/>
  <c r="E9" i="4"/>
  <c r="E4" i="4"/>
  <c r="B14" i="4"/>
  <c r="B12" i="4"/>
  <c r="B17" i="4" s="1"/>
  <c r="B4" i="4"/>
  <c r="B9" i="4"/>
  <c r="G4" i="3"/>
  <c r="K12" i="3"/>
  <c r="G19" i="3"/>
  <c r="O16" i="3" s="1"/>
  <c r="O19" i="3" s="1"/>
  <c r="G20" i="3"/>
  <c r="B22" i="3"/>
  <c r="O11" i="3"/>
  <c r="D29" i="3"/>
  <c r="B21" i="3"/>
  <c r="C25" i="3"/>
  <c r="C17" i="3"/>
  <c r="D16" i="3" s="1"/>
  <c r="C18" i="3"/>
  <c r="C4" i="3"/>
  <c r="C7" i="3"/>
  <c r="D9" i="7" l="1"/>
  <c r="D18" i="7"/>
  <c r="D24" i="7"/>
  <c r="B4" i="7"/>
  <c r="D12" i="7"/>
  <c r="C20" i="3"/>
  <c r="C12" i="3"/>
  <c r="K5" i="3"/>
  <c r="B30" i="7" l="1"/>
  <c r="B29" i="7"/>
  <c r="B23" i="7"/>
  <c r="O10" i="3"/>
  <c r="O12" i="3"/>
  <c r="D19" i="3"/>
  <c r="D28" i="3" s="1"/>
  <c r="D31" i="3" s="1"/>
  <c r="G9" i="3"/>
  <c r="K10" i="3"/>
  <c r="K3" i="3"/>
  <c r="K14" i="3"/>
  <c r="K15" i="3"/>
  <c r="D17" i="7" l="1"/>
  <c r="C4" i="7"/>
  <c r="O9" i="3"/>
  <c r="K4" i="3"/>
  <c r="G12" i="3"/>
  <c r="K16" i="3"/>
  <c r="C23" i="7" l="1"/>
  <c r="D23" i="7" s="1"/>
  <c r="D4" i="7"/>
  <c r="O17" i="3"/>
  <c r="O20" i="3" s="1"/>
  <c r="E17" i="7" l="1"/>
  <c r="B37" i="7"/>
  <c r="C37" i="7" s="1"/>
  <c r="F31" i="7" s="1"/>
  <c r="B31" i="7"/>
  <c r="C31" i="7" s="1"/>
  <c r="E4" i="7"/>
  <c r="E23" i="7"/>
  <c r="E14" i="7"/>
  <c r="E16" i="7"/>
  <c r="E8" i="7"/>
  <c r="E10" i="7"/>
  <c r="E21" i="7"/>
  <c r="E15" i="7"/>
  <c r="E13" i="7"/>
  <c r="E6" i="7"/>
  <c r="E22" i="7"/>
  <c r="E18" i="7"/>
  <c r="E11" i="7"/>
  <c r="E19" i="7"/>
  <c r="E9" i="7"/>
  <c r="E5" i="7"/>
  <c r="E12" i="7"/>
  <c r="O18" i="3"/>
</calcChain>
</file>

<file path=xl/sharedStrings.xml><?xml version="1.0" encoding="utf-8"?>
<sst xmlns="http://schemas.openxmlformats.org/spreadsheetml/2006/main" count="569" uniqueCount="316">
  <si>
    <t>งบดุล</t>
  </si>
  <si>
    <t>อัตราส่วนสภาพคล่องทางการเงิน</t>
  </si>
  <si>
    <t>อัตราส่วนแสดงความสามารถในการทำกำไร</t>
  </si>
  <si>
    <t>ณ วันที่ 31 ธันวาคม 2565</t>
  </si>
  <si>
    <t xml:space="preserve">NCR </t>
  </si>
  <si>
    <t>ROS</t>
  </si>
  <si>
    <t>%</t>
  </si>
  <si>
    <t>สินทรัพย์หมุนเวียน</t>
  </si>
  <si>
    <t>หนี้สิน</t>
  </si>
  <si>
    <t>Equity value ratio</t>
  </si>
  <si>
    <t>ROE</t>
  </si>
  <si>
    <t>เงินสด</t>
  </si>
  <si>
    <t>หนี้สินหมุนเวียน</t>
  </si>
  <si>
    <t>CR</t>
  </si>
  <si>
    <t>ROI</t>
  </si>
  <si>
    <t>ทองคำ</t>
  </si>
  <si>
    <t>หนี้สินระยะปานกลาง</t>
  </si>
  <si>
    <t>WCR</t>
  </si>
  <si>
    <t>สินทรัพย์ประกอบการ</t>
  </si>
  <si>
    <t>หนี้สินระยะยาว</t>
  </si>
  <si>
    <t>รถพ่นสารเคมี</t>
  </si>
  <si>
    <t>อัตราส่วนภาวะหนี้สินของฟาร์ม</t>
  </si>
  <si>
    <t>อัตราส่วนความสามารถในการใช้สินทรัพย์</t>
  </si>
  <si>
    <t>รถตัดหญ้าสุทธิ</t>
  </si>
  <si>
    <t>ส่วนทุนของเจ้าของ</t>
  </si>
  <si>
    <t>Debt-equity ratio</t>
  </si>
  <si>
    <t>ROA</t>
  </si>
  <si>
    <t>เครื่องสูบน้ำ</t>
  </si>
  <si>
    <t>Debt ratio</t>
  </si>
  <si>
    <t>OR</t>
  </si>
  <si>
    <t>สินทรัพย์คงที่</t>
  </si>
  <si>
    <t>FR</t>
  </si>
  <si>
    <t>สินทรัพย์ทั้งหมด</t>
  </si>
  <si>
    <t>หนี้สินและส่วนทุนของเจ้าของ</t>
  </si>
  <si>
    <t>สินทรัพย์ต้นปี</t>
  </si>
  <si>
    <t>Gross ratio</t>
  </si>
  <si>
    <t>หนี้สินต้นปี</t>
  </si>
  <si>
    <t>งบรายได้รายจ่าย</t>
  </si>
  <si>
    <t>Net worth ต้นปี</t>
  </si>
  <si>
    <t>1 มกราคม - 31 ธันวาคม 2565</t>
  </si>
  <si>
    <t>Net worth ปลายปี</t>
  </si>
  <si>
    <t>Management income</t>
  </si>
  <si>
    <t>รายได้จากการผลิต</t>
  </si>
  <si>
    <t>ใช้แรงงานครัวเรือน</t>
  </si>
  <si>
    <t>วัน</t>
  </si>
  <si>
    <t xml:space="preserve">average net worth </t>
  </si>
  <si>
    <t>ROLCM</t>
  </si>
  <si>
    <t>การผลิตข้าว</t>
  </si>
  <si>
    <t>13ไร่</t>
  </si>
  <si>
    <t>แรงงานเจ้าของฟาร์ม</t>
  </si>
  <si>
    <t>ROLM</t>
  </si>
  <si>
    <t>การผลิตสุกรขุน</t>
  </si>
  <si>
    <t>20 ตัว</t>
  </si>
  <si>
    <t>ค่าแรงงานในพื้นที่</t>
  </si>
  <si>
    <t>บาท/วัน</t>
  </si>
  <si>
    <t>Labour income per hour</t>
  </si>
  <si>
    <t>บาท/ชม</t>
  </si>
  <si>
    <t>หัก ค่าใช้จ่าย</t>
  </si>
  <si>
    <t>Unpaid family labour</t>
  </si>
  <si>
    <t>ROCM</t>
  </si>
  <si>
    <t>ค่าใช้จ่ายผันแปรเงินสดในฟาร์ม</t>
  </si>
  <si>
    <t>Unpaid operator's labour</t>
  </si>
  <si>
    <t>ค่าปัจจัยการผลิต</t>
  </si>
  <si>
    <t>ค่าแรงงานจ้าง</t>
  </si>
  <si>
    <t>ค่าพลังงาน</t>
  </si>
  <si>
    <t>ค่าซ่อมแซมบำรุงรักษา</t>
  </si>
  <si>
    <t>ค่าใช้จ่ายคงที่ในฟาร์ม</t>
  </si>
  <si>
    <t>ค่าเสื่อมราคาสินทรัพย์</t>
  </si>
  <si>
    <t>ค่าภาษีดิน</t>
  </si>
  <si>
    <t>ผลตอบแทนก่อนหักดอกเบี้ยและภาษี (EBIT)</t>
  </si>
  <si>
    <t>ดอกเบี้ยจ่าย</t>
  </si>
  <si>
    <t>ภาษีรายได้</t>
  </si>
  <si>
    <t>กำไรสุทธิ</t>
  </si>
  <si>
    <t>ตัวอย่าง งบดุลฟาร์มทวีสุข</t>
  </si>
  <si>
    <t>สินทรัพย์</t>
  </si>
  <si>
    <t>หนี้สินและส่วนของเจ้าของ</t>
  </si>
  <si>
    <t>หนี้สินระยะสั้น</t>
  </si>
  <si>
    <t xml:space="preserve"> - เงินสด</t>
  </si>
  <si>
    <t xml:space="preserve"> - หนี้ญาติ</t>
  </si>
  <si>
    <t xml:space="preserve"> - บัญชีฝากธนาคาร</t>
  </si>
  <si>
    <t xml:space="preserve"> - กองทุนหมู่บ้าน</t>
  </si>
  <si>
    <t xml:space="preserve"> - ฟางข้าวคงเหลือ</t>
  </si>
  <si>
    <t xml:space="preserve"> - โคขุนคงเหลือ</t>
  </si>
  <si>
    <t>สินทรัพย์ดำเนินงาน</t>
  </si>
  <si>
    <t xml:space="preserve"> - แม่โคพันธุ์</t>
  </si>
  <si>
    <t xml:space="preserve"> - หนี้สหกรณ์</t>
  </si>
  <si>
    <t xml:space="preserve"> - อุปกรณ์การเกษตร</t>
  </si>
  <si>
    <t>สินทรัพย์ถาวร</t>
  </si>
  <si>
    <t xml:space="preserve"> - โรงเรือน</t>
  </si>
  <si>
    <t xml:space="preserve"> - หนี้ ธ.ก.ส.</t>
  </si>
  <si>
    <t xml:space="preserve"> - ที่ดินจำนวน 8 ไร่</t>
  </si>
  <si>
    <t>รวมหนี้สินทั้งหมด</t>
  </si>
  <si>
    <t>ส่วนของเจ้าของ</t>
  </si>
  <si>
    <t xml:space="preserve"> รวมสินทรัพย์ทั้งหมด </t>
  </si>
  <si>
    <t xml:space="preserve"> รวมหนี้สินทั้งหมดและส่วนของเจ้าของ </t>
  </si>
  <si>
    <t>CRA ข้าวโพดหวานคุณทวีสิน</t>
  </si>
  <si>
    <t>ต่อรอบการผลิต</t>
  </si>
  <si>
    <t>รายการ</t>
  </si>
  <si>
    <t>เป็นเงินสด</t>
  </si>
  <si>
    <t>ไม่เป็นเงินสด</t>
  </si>
  <si>
    <t>รวม</t>
  </si>
  <si>
    <t>ร้อยละ</t>
  </si>
  <si>
    <t>จำนวน</t>
  </si>
  <si>
    <t>หน่วย</t>
  </si>
  <si>
    <t>ราคา/หน่วย</t>
  </si>
  <si>
    <t>มูลค่า</t>
  </si>
  <si>
    <t>อายุการใช้งาน</t>
  </si>
  <si>
    <t>มูลค่าซาก</t>
  </si>
  <si>
    <t>สัดส่วนการใช้</t>
  </si>
  <si>
    <t>ค่าเสื่อม/ปี</t>
  </si>
  <si>
    <t>AIV</t>
  </si>
  <si>
    <t>ค่าเสียโอกาสของเงินทุน</t>
  </si>
  <si>
    <t>ค่าบำรุงรักษา</t>
  </si>
  <si>
    <t>ค่าบำรุงรักษาเฉพาะฟาร์ม</t>
  </si>
  <si>
    <t>(บาท)</t>
  </si>
  <si>
    <t>ระบบน้ำสปริงเกอร์</t>
  </si>
  <si>
    <t>ระบบ</t>
  </si>
  <si>
    <t xml:space="preserve"> 1.ต้นทุนผันแปร</t>
  </si>
  <si>
    <t xml:space="preserve"> 1.1 ค่าวัสดุทางการเกษตร</t>
  </si>
  <si>
    <t>ค่าเมล็ดพันธุ์</t>
  </si>
  <si>
    <t>ค่าสารเคมี</t>
  </si>
  <si>
    <t>ค่าปุ๋ยรองพื้น</t>
  </si>
  <si>
    <t>ค่าปุ๋ยบำรุงต้น</t>
  </si>
  <si>
    <t xml:space="preserve"> 1.2 แรงงาน</t>
  </si>
  <si>
    <t>รวมเงินลงทุนเริ่มต้นปีแรก</t>
  </si>
  <si>
    <t xml:space="preserve">   แรงงานครัวเรือน</t>
  </si>
  <si>
    <t xml:space="preserve">แรงงานเครื่องจักร </t>
  </si>
  <si>
    <t>อัตราดอกเบี้ยเผื่อเรียก</t>
  </si>
  <si>
    <t xml:space="preserve">% ต่อปี </t>
  </si>
  <si>
    <t>% ต่อเดือน</t>
  </si>
  <si>
    <t>เตรียมแปลง</t>
  </si>
  <si>
    <t>อัตราดอกเบี้ยฝากประจำ</t>
  </si>
  <si>
    <t>โดรนพ่นยาคุมหญ้า</t>
  </si>
  <si>
    <t>ระยะเวลาในการผลิต</t>
  </si>
  <si>
    <t>เดือน/รอบ</t>
  </si>
  <si>
    <t>โดรนพ่นย่าฆ่าหนอน กำจัดวัชพืช ให้ปุ๋ยทางใบ</t>
  </si>
  <si>
    <t>แรงงานจ้าง</t>
  </si>
  <si>
    <t>แรงงานครัวเรือน</t>
  </si>
  <si>
    <t>วันทำงาน</t>
  </si>
  <si>
    <t>ปลูก</t>
  </si>
  <si>
    <t>ค่าจ้างแรงงานท้องถิ่น</t>
  </si>
  <si>
    <t>หักข้าวโพด</t>
  </si>
  <si>
    <t>1.3 ค่าใช้จ่ายอื่น ๆ</t>
  </si>
  <si>
    <t>แรงงานเครื่องจักร</t>
  </si>
  <si>
    <t>ค่าไฟฟ้า ค่าน้ำมัน</t>
  </si>
  <si>
    <t>บาท/ไร่</t>
  </si>
  <si>
    <t>ค่าซ่อมบำรุง</t>
  </si>
  <si>
    <t>1.4 ค่าเสียโอกาสเงินทุนระยะสั้น</t>
  </si>
  <si>
    <t>โดรนพ่นปุ๋ยทางใบ</t>
  </si>
  <si>
    <t xml:space="preserve"> 2. ต้นทุนคงที่</t>
  </si>
  <si>
    <t xml:space="preserve"> 2.1 ค่าเช่า</t>
  </si>
  <si>
    <t xml:space="preserve"> 2.2 ค่าภาษี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</si>
  <si>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</si>
  <si>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</si>
  <si>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 (บาท/รอบ)</t>
  </si>
  <si>
    <t>รายได้ทั้งหมด (บาท/รอบ)</t>
  </si>
  <si>
    <t>ขายฝักสด</t>
  </si>
  <si>
    <t>ขายต้นข้าวโพด</t>
  </si>
  <si>
    <t>บาท/รอบการผลิต</t>
  </si>
  <si>
    <t>ไร่</t>
  </si>
  <si>
    <t>รายได้เหนือต้นทุนเงินสด</t>
  </si>
  <si>
    <t>ผลผลิตรวม</t>
  </si>
  <si>
    <t>กก.</t>
  </si>
  <si>
    <t>รายได้เหนือต้นทุนผันแปร</t>
  </si>
  <si>
    <t>ผลผลิตเฉลี่ย</t>
  </si>
  <si>
    <t>กก./ไร่</t>
  </si>
  <si>
    <t>กำไร</t>
  </si>
  <si>
    <t>ต้นทุนเฉลี่ย</t>
  </si>
  <si>
    <t>บาท/กก.</t>
  </si>
  <si>
    <t>ราคาขาย</t>
  </si>
  <si>
    <t>ต้นทุนผันแปรเงินสด</t>
  </si>
  <si>
    <t>ต้นทุนผันแปรไม่เป็นเงินสด</t>
  </si>
  <si>
    <t>ต้นทุนคงที่ที่เงินสด</t>
  </si>
  <si>
    <t>ต้นทุนคงที่ที่ไม่เป็นเงินสด</t>
  </si>
  <si>
    <t>ต้นทุนทั้งหมด</t>
  </si>
  <si>
    <t>ตัวอย่างการวิเคราะห์ต้นทุนและผลตอบแทนการผลิตทุเรียนปีที่ 6</t>
  </si>
  <si>
    <t>ตัวอย่างการวิเคราะห์ต้นทุนและผลตอบแทนการผลิตทุเรียนปีที่ 6 (สวนรสา)</t>
  </si>
  <si>
    <t>การปลูก</t>
  </si>
  <si>
    <t>ที่ดิน</t>
  </si>
  <si>
    <t> </t>
  </si>
  <si>
    <t>มูลค่าซื้อ</t>
  </si>
  <si>
    <t>รวมมูลค่าซื้อ</t>
  </si>
  <si>
    <t>สัดส่วนที่ใช้ในสวน</t>
  </si>
  <si>
    <t>ค่าเสื่อม/ปี/สวน</t>
  </si>
  <si>
    <t>ค่าเสียโอกาส/ฟาร์ม</t>
  </si>
  <si>
    <t>ค่าบำรุงรักษา/ฟาร์ม</t>
  </si>
  <si>
    <t xml:space="preserve"> รายการ</t>
  </si>
  <si>
    <t>ทุเรียน</t>
  </si>
  <si>
    <t>พื้นที่ปลูก</t>
  </si>
  <si>
    <t>ค่าเชาที่ดินใกล้เคียง</t>
  </si>
  <si>
    <t>โรงเรือนเก็บวัสดุอุปกรณ์</t>
  </si>
  <si>
    <t xml:space="preserve"> เป็นเงินสด</t>
  </si>
  <si>
    <t xml:space="preserve"> ไม่เป็นเงินสด</t>
  </si>
  <si>
    <t xml:space="preserve"> รวม</t>
  </si>
  <si>
    <t>ระยะปลูก</t>
  </si>
  <si>
    <t>ต้น/ไร่</t>
  </si>
  <si>
    <t>ภาษี</t>
  </si>
  <si>
    <t>บาท/ปี</t>
  </si>
  <si>
    <t>บ่อน้ำบาดาล</t>
  </si>
  <si>
    <t>ต้น</t>
  </si>
  <si>
    <t>ระบบสปริงเกอร์</t>
  </si>
  <si>
    <t xml:space="preserve"> 1.1 ค่าวัสดุการเกษตร</t>
  </si>
  <si>
    <t>ผล</t>
  </si>
  <si>
    <t>ค่าวัสดุ</t>
  </si>
  <si>
    <t>รถพ่นยาแอร์บัส</t>
  </si>
  <si>
    <t xml:space="preserve"> - ค่าปุ๋ยบำรุงต้น</t>
  </si>
  <si>
    <t>น้ำหนักเฉลี่ย</t>
  </si>
  <si>
    <t>กก/ผล</t>
  </si>
  <si>
    <t>เครื่องพ่นยา</t>
  </si>
  <si>
    <t xml:space="preserve"> - ค่าสารเคมี</t>
  </si>
  <si>
    <t>กก./ฟาร์ม</t>
  </si>
  <si>
    <t>รถตัดหญ้า</t>
  </si>
  <si>
    <t xml:space="preserve"> - เชือกฟาง</t>
  </si>
  <si>
    <t>เชือกฟาง</t>
  </si>
  <si>
    <t>บาท/ต้น</t>
  </si>
  <si>
    <t>เครื่องตัดหญ้า</t>
  </si>
  <si>
    <t xml:space="preserve"> 1.2 แรงงานคน</t>
  </si>
  <si>
    <t>รถกระเช้า</t>
  </si>
  <si>
    <t xml:space="preserve">   -แรงงานครัวเรือน</t>
  </si>
  <si>
    <t>ราคาขายผลผลิต</t>
  </si>
  <si>
    <t>ค่าใช้จ่ายอื่นๆ</t>
  </si>
  <si>
    <t>รถปิ๊กอัพ</t>
  </si>
  <si>
    <t xml:space="preserve">   -แรงงานประจำ+จ้าง</t>
  </si>
  <si>
    <t>A</t>
  </si>
  <si>
    <t>เบ็ดเตล็ด</t>
  </si>
  <si>
    <t>มอเตอร์ไซด์</t>
  </si>
  <si>
    <t xml:space="preserve"> 1.3 ค่าใช้จ่ายเบ็ดเตล็ด</t>
  </si>
  <si>
    <t xml:space="preserve">B </t>
  </si>
  <si>
    <t>ค่าไฟฟ้าและพลังงาน</t>
  </si>
  <si>
    <t>บาท/ฟาร์ม</t>
  </si>
  <si>
    <t>เลื่อยไฟฟ้าสำหรับตัดกิ่งไร้สาย</t>
  </si>
  <si>
    <t xml:space="preserve"> 1.4 ค่าไฟฟ้าและพลังงาน</t>
  </si>
  <si>
    <t>C</t>
  </si>
  <si>
    <t>ถังผสมยา</t>
  </si>
  <si>
    <t xml:space="preserve"> 1.7 ค่าซ่อมบำรุง</t>
  </si>
  <si>
    <t>D</t>
  </si>
  <si>
    <t>เครื่องชั่ง</t>
  </si>
  <si>
    <t xml:space="preserve"> 1.8 ค่าเสียโอกาสเงินทุนระยะสั้น</t>
  </si>
  <si>
    <t>คละ/เฉลี่ย</t>
  </si>
  <si>
    <t>จอบ</t>
  </si>
  <si>
    <t>พลั่ว</t>
  </si>
  <si>
    <t xml:space="preserve"> 2.1 ค่าใช้ที่ดินของตนเอง</t>
  </si>
  <si>
    <t>แรงงาน</t>
  </si>
  <si>
    <t>อัตราดอกเบี้ย</t>
  </si>
  <si>
    <t>มีดพร้า</t>
  </si>
  <si>
    <t>แรงงานประจำ</t>
  </si>
  <si>
    <t>บาท/เดือน</t>
  </si>
  <si>
    <t>ระยะสั้น</t>
  </si>
  <si>
    <t>ต่อปี</t>
  </si>
  <si>
    <t>กรรไกรตัดกิ่งเล็ก</t>
  </si>
  <si>
    <t>Financial rate</t>
  </si>
  <si>
    <t>ระยะยาว</t>
  </si>
  <si>
    <t> รวมค่าเสื่อม</t>
  </si>
  <si>
    <t xml:space="preserve"> รวมต้นทุนทั้งหมด(บาท/ฟาร์ม)</t>
  </si>
  <si>
    <t>Reinvestment rate</t>
  </si>
  <si>
    <t>% ต่อปี</t>
  </si>
  <si>
    <t xml:space="preserve"> - ต้นทุนเฉลี่ย (บาท/ต้น)</t>
  </si>
  <si>
    <t xml:space="preserve"> - ต้นทุนเฉลี่ย (บาท/กก.)</t>
  </si>
  <si>
    <t>จำนวนวัน</t>
  </si>
  <si>
    <t xml:space="preserve"> รายได้ทั้งหมด(บาท/ฟาร์ม)</t>
  </si>
  <si>
    <t>ค่าจ้าง</t>
  </si>
  <si>
    <t xml:space="preserve"> รายได้เหนือต้นทุนเงินสด (บาท/ฟาร์ม)</t>
  </si>
  <si>
    <t>เหมา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</si>
  <si>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</si>
  <si>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</si>
  <si>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ราย</t>
  </si>
  <si>
    <t>รายได้เหนือต้นทุนเงินสด (บาท/ต้น)</t>
  </si>
  <si>
    <t>วันทำงานเฉลี่ย</t>
  </si>
  <si>
    <t>วันทำงาน/คน</t>
  </si>
  <si>
    <t xml:space="preserve"> รายได้เหนือต้นทุนผันแปร (บาท/ต้น)</t>
  </si>
  <si>
    <t xml:space="preserve"> รายได้เหนือต้นทุนทั้งหมด (บาท/ต้น)</t>
  </si>
  <si>
    <t>รายได้เหนือต้นทุนเงินสด (บาท/กก.)</t>
  </si>
  <si>
    <t xml:space="preserve"> รายได้เหนือต้นทุนผันแปร (บาท/กก.)</t>
  </si>
  <si>
    <t xml:space="preserve"> รายได้เหนือต้นทุนทั้งหมด (บาท/กก.)</t>
  </si>
  <si>
    <t>ฟาร์มวันชัย: ต้นทุนการผลิตสุกรขุน 1 รอบการผลิต</t>
  </si>
  <si>
    <t>โรงเรือนสุกรขุน</t>
  </si>
  <si>
    <t>ห้อง</t>
  </si>
  <si>
    <t>ถังเก็บน้ำ</t>
  </si>
  <si>
    <t>เครื่อง</t>
  </si>
  <si>
    <t>เครื่องผสมอาหาร</t>
  </si>
  <si>
    <t xml:space="preserve">   ค่าลูกสุกร</t>
  </si>
  <si>
    <t>พัดลมระบายอากาศ</t>
  </si>
  <si>
    <t xml:space="preserve">   ค่าอาหารสัตว์</t>
  </si>
  <si>
    <t>รถเข็ญอาหาร</t>
  </si>
  <si>
    <t>คัน</t>
  </si>
  <si>
    <t xml:space="preserve">   ค่าวัคซีน</t>
  </si>
  <si>
    <t>รถ pickup</t>
  </si>
  <si>
    <t xml:space="preserve"> 2.1 ค่าเสียโอกาสการใช้ที่ดินของตนเอง</t>
  </si>
  <si>
    <t xml:space="preserve">  - ขายสุกรขุน</t>
  </si>
  <si>
    <t xml:space="preserve">  - ขายมูลสุกร</t>
  </si>
  <si>
    <t>บาท/รอบ</t>
  </si>
  <si>
    <t>บาท/ตัว</t>
  </si>
  <si>
    <t>ตัว</t>
  </si>
  <si>
    <t>กก./ตัว</t>
  </si>
  <si>
    <t>รวมรายได้</t>
  </si>
  <si>
    <t>ตัวอย่างการวิเคราะห์ต้นทุนและผลตอบแทนการผลิตทุเรียนแยกรายปี</t>
  </si>
  <si>
    <t>ปีที่ 1</t>
  </si>
  <si>
    <t xml:space="preserve"> - ค่าต้นพันธุ์</t>
  </si>
  <si>
    <t>ต้นพันธุ์</t>
  </si>
  <si>
    <t xml:space="preserve">   -แรงงานประจำ</t>
  </si>
  <si>
    <t xml:space="preserve">   -แรงงานปลูก 5,000*40 ไร่</t>
  </si>
  <si>
    <t>ค่าแรงปลูก</t>
  </si>
  <si>
    <t xml:space="preserve"> - ค่าปลูกซ่อม</t>
  </si>
  <si>
    <t>ปีที่ 2</t>
  </si>
  <si>
    <t>เฉลี่ยปีที่ 2 - 5</t>
  </si>
  <si>
    <t xml:space="preserve">   -แรงงานจ้าง</t>
  </si>
  <si>
    <t>เฉลี่ยปีที่ 6-10</t>
  </si>
  <si>
    <t>ปีที่ 3</t>
  </si>
  <si>
    <t>ปีที่ 4</t>
  </si>
  <si>
    <t>ปีที่ 5</t>
  </si>
  <si>
    <t>ปีที่ 6</t>
  </si>
  <si>
    <t>ปีที่ 7</t>
  </si>
  <si>
    <t>ปีที่ 8</t>
  </si>
  <si>
    <t>ปีที่ 9</t>
  </si>
  <si>
    <t>ปีที่ 10</t>
  </si>
  <si>
    <t>เฉลี่ย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</si>
</sst>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(* #,##0_);_(* \(#,##0\);_(* &quot;-&quot;??_);_(@_)"/>
    <numFmt numFmtId="167" formatCode="0.000%"/>
    <numFmt numFmtId="168" formatCode="#,##0.0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 New"/>
      <family val="2"/>
    </font>
    <font>
      <sz val="12"/>
      <color rgb="FF000000"/>
      <name val="TH Sarabun New"/>
      <family val="2"/>
    </font>
    <font>
      <sz val="12"/>
      <color theme="1"/>
      <name val="TH Sarabun New"/>
      <family val="2"/>
    </font>
    <font>
      <sz val="12"/>
      <color theme="1"/>
      <name val="Calibri"/>
      <family val="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i/>
      <u/>
      <sz val="14"/>
      <color rgb="FF000000"/>
      <name val="TH SarabunPSK"/>
      <family val="2"/>
    </font>
    <font>
      <b/>
      <i/>
      <sz val="14"/>
      <color rgb="FF000000"/>
      <name val="TH SarabunPSK"/>
      <family val="2"/>
    </font>
    <font>
      <u/>
      <sz val="14"/>
      <color rgb="FF000000"/>
      <name val="TH SarabunPSK"/>
      <family val="2"/>
    </font>
    <font>
      <b/>
      <i/>
      <u/>
      <sz val="14"/>
      <color theme="1"/>
      <name val="TH SarabunPSK"/>
      <family val="2"/>
    </font>
    <font>
      <b/>
      <u/>
      <sz val="14"/>
      <color rgb="FF00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2"/>
      <color rgb="FF000000"/>
      <name val="TH Sarabun New"/>
      <family val="2"/>
    </font>
    <font>
      <b/>
      <sz val="12"/>
      <color theme="1"/>
      <name val="Calibri"/>
      <family val="2"/>
      <scheme val="minor"/>
    </font>
    <font>
      <sz val="14"/>
      <color theme="1"/>
      <name val="TH SarabunPSK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24"/>
      <color rgb="FFC00000"/>
      <name val="TH Sarabun New"/>
      <family val="2"/>
    </font>
    <font>
      <b/>
      <sz val="20"/>
      <color rgb="FFC00000"/>
      <name val="TH Sarabun New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b/>
      <sz val="11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rgb="FFC00000"/>
      <name val="TH Sarabun New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14"/>
      <color rgb="FF000000"/>
      <name val="TH Sarabun New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13" fillId="0" borderId="0" xfId="0" applyFont="1"/>
    <xf numFmtId="43" fontId="13" fillId="0" borderId="0" xfId="1" applyFont="1"/>
    <xf numFmtId="0" fontId="14" fillId="0" borderId="0" xfId="0" applyFont="1"/>
    <xf numFmtId="43" fontId="0" fillId="0" borderId="0" xfId="0" applyNumberFormat="1"/>
    <xf numFmtId="2" fontId="0" fillId="0" borderId="0" xfId="0" applyNumberFormat="1"/>
    <xf numFmtId="43" fontId="0" fillId="0" borderId="0" xfId="1" applyFont="1"/>
    <xf numFmtId="164" fontId="0" fillId="0" borderId="0" xfId="1" applyNumberFormat="1" applyFont="1"/>
    <xf numFmtId="3" fontId="8" fillId="0" borderId="0" xfId="0" applyNumberFormat="1" applyFont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 indent="1"/>
    </xf>
    <xf numFmtId="2" fontId="3" fillId="0" borderId="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justify" vertical="center" wrapText="1"/>
    </xf>
    <xf numFmtId="3" fontId="16" fillId="0" borderId="2" xfId="0" applyNumberFormat="1" applyFont="1" applyBorder="1" applyAlignment="1">
      <alignment vertical="center" wrapText="1"/>
    </xf>
    <xf numFmtId="2" fontId="16" fillId="0" borderId="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vertical="center" wrapText="1"/>
    </xf>
    <xf numFmtId="165" fontId="16" fillId="0" borderId="2" xfId="1" applyNumberFormat="1" applyFont="1" applyBorder="1" applyAlignment="1">
      <alignment horizontal="right" vertical="center" wrapText="1"/>
    </xf>
    <xf numFmtId="0" fontId="13" fillId="0" borderId="6" xfId="0" applyFont="1" applyBorder="1"/>
    <xf numFmtId="0" fontId="13" fillId="0" borderId="7" xfId="0" applyFont="1" applyBorder="1"/>
    <xf numFmtId="0" fontId="13" fillId="0" borderId="5" xfId="0" applyFont="1" applyBorder="1"/>
    <xf numFmtId="0" fontId="13" fillId="0" borderId="8" xfId="0" applyFont="1" applyBorder="1"/>
    <xf numFmtId="0" fontId="13" fillId="0" borderId="9" xfId="0" applyFont="1" applyBorder="1"/>
    <xf numFmtId="0" fontId="14" fillId="0" borderId="8" xfId="0" applyFont="1" applyBorder="1"/>
    <xf numFmtId="43" fontId="14" fillId="0" borderId="0" xfId="1" applyFont="1" applyBorder="1"/>
    <xf numFmtId="43" fontId="14" fillId="0" borderId="9" xfId="1" applyFont="1" applyBorder="1"/>
    <xf numFmtId="0" fontId="13" fillId="0" borderId="8" xfId="0" applyFont="1" applyBorder="1" applyAlignment="1">
      <alignment horizontal="left" indent="1"/>
    </xf>
    <xf numFmtId="43" fontId="13" fillId="0" borderId="0" xfId="1" applyFont="1" applyBorder="1"/>
    <xf numFmtId="0" fontId="13" fillId="0" borderId="0" xfId="0" applyFont="1" applyAlignment="1">
      <alignment horizontal="left" indent="1"/>
    </xf>
    <xf numFmtId="4" fontId="13" fillId="0" borderId="0" xfId="0" applyNumberFormat="1" applyFont="1"/>
    <xf numFmtId="43" fontId="13" fillId="0" borderId="9" xfId="1" applyFont="1" applyBorder="1"/>
    <xf numFmtId="0" fontId="14" fillId="0" borderId="10" xfId="0" applyFont="1" applyBorder="1"/>
    <xf numFmtId="0" fontId="13" fillId="0" borderId="1" xfId="0" applyFont="1" applyBorder="1"/>
    <xf numFmtId="43" fontId="14" fillId="0" borderId="1" xfId="0" applyNumberFormat="1" applyFont="1" applyBorder="1"/>
    <xf numFmtId="0" fontId="14" fillId="0" borderId="1" xfId="0" applyFont="1" applyBorder="1"/>
    <xf numFmtId="43" fontId="14" fillId="0" borderId="2" xfId="1" applyFont="1" applyBorder="1"/>
    <xf numFmtId="0" fontId="14" fillId="0" borderId="6" xfId="0" applyFont="1" applyBorder="1"/>
    <xf numFmtId="43" fontId="14" fillId="0" borderId="7" xfId="1" applyFont="1" applyBorder="1"/>
    <xf numFmtId="0" fontId="14" fillId="0" borderId="7" xfId="0" applyFont="1" applyBorder="1"/>
    <xf numFmtId="43" fontId="14" fillId="0" borderId="5" xfId="1" applyFont="1" applyBorder="1"/>
    <xf numFmtId="43" fontId="13" fillId="0" borderId="9" xfId="0" applyNumberFormat="1" applyFont="1" applyBorder="1"/>
    <xf numFmtId="0" fontId="13" fillId="0" borderId="8" xfId="0" applyFont="1" applyBorder="1" applyAlignment="1">
      <alignment horizontal="left" indent="2"/>
    </xf>
    <xf numFmtId="43" fontId="14" fillId="0" borderId="1" xfId="1" applyFont="1" applyBorder="1"/>
    <xf numFmtId="43" fontId="14" fillId="0" borderId="2" xfId="0" applyNumberFormat="1" applyFont="1" applyBorder="1"/>
    <xf numFmtId="0" fontId="17" fillId="0" borderId="0" xfId="0" applyFont="1"/>
    <xf numFmtId="0" fontId="2" fillId="0" borderId="0" xfId="0" applyFont="1"/>
    <xf numFmtId="3" fontId="13" fillId="0" borderId="0" xfId="0" applyNumberFormat="1" applyFont="1"/>
    <xf numFmtId="164" fontId="13" fillId="0" borderId="0" xfId="1" applyNumberFormat="1" applyFont="1"/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justify" vertical="center" wrapText="1"/>
    </xf>
    <xf numFmtId="0" fontId="13" fillId="0" borderId="11" xfId="0" applyFont="1" applyBorder="1"/>
    <xf numFmtId="0" fontId="13" fillId="0" borderId="11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center" vertical="center" wrapText="1"/>
    </xf>
    <xf numFmtId="3" fontId="13" fillId="0" borderId="11" xfId="0" applyNumberFormat="1" applyFont="1" applyBorder="1" applyAlignment="1">
      <alignment horizontal="right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66" fontId="13" fillId="0" borderId="11" xfId="1" applyNumberFormat="1" applyFont="1" applyBorder="1"/>
    <xf numFmtId="166" fontId="13" fillId="0" borderId="11" xfId="0" applyNumberFormat="1" applyFont="1" applyBorder="1"/>
    <xf numFmtId="0" fontId="18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0" fontId="18" fillId="0" borderId="12" xfId="0" applyFont="1" applyBorder="1" applyAlignment="1">
      <alignment horizontal="justify" vertical="center" wrapText="1"/>
    </xf>
    <xf numFmtId="3" fontId="18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center" wrapText="1"/>
    </xf>
    <xf numFmtId="3" fontId="13" fillId="0" borderId="12" xfId="0" applyNumberFormat="1" applyFont="1" applyBorder="1" applyAlignment="1">
      <alignment horizontal="center" vertical="center" wrapText="1"/>
    </xf>
    <xf numFmtId="3" fontId="13" fillId="2" borderId="11" xfId="0" applyNumberFormat="1" applyFont="1" applyFill="1" applyBorder="1"/>
    <xf numFmtId="166" fontId="13" fillId="2" borderId="11" xfId="0" applyNumberFormat="1" applyFont="1" applyFill="1" applyBorder="1"/>
    <xf numFmtId="0" fontId="15" fillId="0" borderId="11" xfId="0" applyFont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166" fontId="13" fillId="3" borderId="11" xfId="0" applyNumberFormat="1" applyFont="1" applyFill="1" applyBorder="1"/>
    <xf numFmtId="165" fontId="13" fillId="0" borderId="11" xfId="1" applyNumberFormat="1" applyFont="1" applyBorder="1" applyAlignment="1">
      <alignment horizontal="center" vertical="center" wrapText="1"/>
    </xf>
    <xf numFmtId="165" fontId="13" fillId="0" borderId="0" xfId="1" applyNumberFormat="1" applyFont="1"/>
    <xf numFmtId="0" fontId="19" fillId="0" borderId="0" xfId="0" applyFont="1"/>
    <xf numFmtId="0" fontId="20" fillId="0" borderId="0" xfId="0" applyFont="1"/>
    <xf numFmtId="165" fontId="0" fillId="0" borderId="0" xfId="0" applyNumberFormat="1"/>
    <xf numFmtId="0" fontId="21" fillId="0" borderId="0" xfId="0" applyFont="1"/>
    <xf numFmtId="0" fontId="22" fillId="0" borderId="0" xfId="0" applyFont="1" applyAlignment="1">
      <alignment vertical="center"/>
    </xf>
    <xf numFmtId="0" fontId="14" fillId="4" borderId="0" xfId="0" applyFont="1" applyFill="1"/>
    <xf numFmtId="0" fontId="13" fillId="4" borderId="0" xfId="0" applyFont="1" applyFill="1"/>
    <xf numFmtId="0" fontId="23" fillId="0" borderId="11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5" fillId="5" borderId="15" xfId="0" applyFont="1" applyFill="1" applyBorder="1" applyAlignment="1">
      <alignment horizontal="center" wrapText="1"/>
    </xf>
    <xf numFmtId="0" fontId="25" fillId="5" borderId="0" xfId="0" applyFont="1" applyFill="1" applyAlignment="1">
      <alignment horizontal="center" wrapText="1"/>
    </xf>
    <xf numFmtId="0" fontId="13" fillId="6" borderId="0" xfId="0" applyFont="1" applyFill="1" applyAlignment="1">
      <alignment horizontal="center" vertical="center"/>
    </xf>
    <xf numFmtId="165" fontId="13" fillId="6" borderId="0" xfId="1" applyNumberFormat="1" applyFont="1" applyFill="1" applyAlignment="1">
      <alignment horizontal="center"/>
    </xf>
    <xf numFmtId="0" fontId="26" fillId="0" borderId="0" xfId="0" applyFont="1" applyAlignment="1">
      <alignment horizontal="center" wrapText="1"/>
    </xf>
    <xf numFmtId="0" fontId="27" fillId="0" borderId="12" xfId="0" applyFont="1" applyBorder="1" applyAlignment="1">
      <alignment wrapText="1"/>
    </xf>
    <xf numFmtId="3" fontId="27" fillId="6" borderId="17" xfId="0" applyNumberFormat="1" applyFont="1" applyFill="1" applyBorder="1" applyAlignment="1">
      <alignment wrapText="1"/>
    </xf>
    <xf numFmtId="3" fontId="27" fillId="6" borderId="17" xfId="0" applyNumberFormat="1" applyFont="1" applyFill="1" applyBorder="1" applyAlignment="1">
      <alignment horizontal="center" wrapText="1"/>
    </xf>
    <xf numFmtId="0" fontId="27" fillId="6" borderId="17" xfId="0" applyFont="1" applyFill="1" applyBorder="1" applyAlignment="1">
      <alignment horizontal="center" wrapText="1"/>
    </xf>
    <xf numFmtId="4" fontId="27" fillId="4" borderId="17" xfId="0" applyNumberFormat="1" applyFont="1" applyFill="1" applyBorder="1" applyAlignment="1">
      <alignment wrapText="1"/>
    </xf>
    <xf numFmtId="0" fontId="27" fillId="6" borderId="13" xfId="0" applyFont="1" applyFill="1" applyBorder="1" applyAlignment="1">
      <alignment horizontal="center" wrapText="1"/>
    </xf>
    <xf numFmtId="4" fontId="27" fillId="4" borderId="11" xfId="0" applyNumberFormat="1" applyFont="1" applyFill="1" applyBorder="1" applyAlignment="1">
      <alignment wrapText="1"/>
    </xf>
    <xf numFmtId="3" fontId="27" fillId="4" borderId="11" xfId="0" applyNumberFormat="1" applyFont="1" applyFill="1" applyBorder="1" applyAlignment="1">
      <alignment wrapText="1"/>
    </xf>
    <xf numFmtId="165" fontId="28" fillId="6" borderId="11" xfId="1" applyNumberFormat="1" applyFont="1" applyFill="1" applyBorder="1"/>
    <xf numFmtId="165" fontId="28" fillId="4" borderId="11" xfId="0" applyNumberFormat="1" applyFont="1" applyFill="1" applyBorder="1"/>
    <xf numFmtId="0" fontId="1" fillId="0" borderId="0" xfId="0" applyFont="1"/>
    <xf numFmtId="0" fontId="25" fillId="5" borderId="12" xfId="0" applyFont="1" applyFill="1" applyBorder="1" applyAlignment="1">
      <alignment horizontal="center" wrapText="1"/>
    </xf>
    <xf numFmtId="0" fontId="25" fillId="5" borderId="17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center"/>
    </xf>
    <xf numFmtId="3" fontId="27" fillId="0" borderId="0" xfId="0" applyNumberFormat="1" applyFont="1" applyAlignment="1">
      <alignment wrapText="1"/>
    </xf>
    <xf numFmtId="4" fontId="27" fillId="0" borderId="0" xfId="0" applyNumberFormat="1" applyFont="1" applyAlignment="1">
      <alignment wrapText="1"/>
    </xf>
    <xf numFmtId="0" fontId="14" fillId="7" borderId="12" xfId="0" applyFont="1" applyFill="1" applyBorder="1" applyAlignment="1">
      <alignment wrapText="1"/>
    </xf>
    <xf numFmtId="164" fontId="14" fillId="7" borderId="17" xfId="1" applyNumberFormat="1" applyFont="1" applyFill="1" applyBorder="1" applyAlignment="1">
      <alignment wrapText="1"/>
    </xf>
    <xf numFmtId="164" fontId="14" fillId="7" borderId="0" xfId="1" applyNumberFormat="1" applyFont="1" applyFill="1" applyBorder="1" applyAlignment="1">
      <alignment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12" xfId="0" applyFont="1" applyBorder="1" applyAlignment="1">
      <alignment wrapText="1"/>
    </xf>
    <xf numFmtId="164" fontId="14" fillId="0" borderId="17" xfId="1" applyNumberFormat="1" applyFont="1" applyBorder="1" applyAlignment="1">
      <alignment wrapText="1"/>
    </xf>
    <xf numFmtId="164" fontId="14" fillId="0" borderId="0" xfId="1" applyNumberFormat="1" applyFont="1" applyFill="1" applyBorder="1" applyAlignment="1">
      <alignment wrapText="1"/>
    </xf>
    <xf numFmtId="0" fontId="13" fillId="0" borderId="12" xfId="0" applyFont="1" applyBorder="1" applyAlignment="1">
      <alignment wrapText="1"/>
    </xf>
    <xf numFmtId="164" fontId="13" fillId="0" borderId="17" xfId="1" applyNumberFormat="1" applyFont="1" applyBorder="1" applyAlignment="1">
      <alignment wrapText="1"/>
    </xf>
    <xf numFmtId="164" fontId="14" fillId="0" borderId="17" xfId="1" applyNumberFormat="1" applyFont="1" applyFill="1" applyBorder="1" applyAlignment="1">
      <alignment wrapText="1"/>
    </xf>
    <xf numFmtId="0" fontId="14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29" fillId="6" borderId="0" xfId="0" applyFont="1" applyFill="1" applyAlignment="1">
      <alignment horizontal="center"/>
    </xf>
    <xf numFmtId="0" fontId="14" fillId="0" borderId="0" xfId="0" applyFont="1" applyAlignment="1">
      <alignment horizontal="left"/>
    </xf>
    <xf numFmtId="167" fontId="13" fillId="6" borderId="0" xfId="0" applyNumberFormat="1" applyFont="1" applyFill="1" applyAlignment="1">
      <alignment horizontal="center"/>
    </xf>
    <xf numFmtId="10" fontId="13" fillId="6" borderId="0" xfId="1" applyNumberFormat="1" applyFont="1" applyFill="1" applyAlignment="1">
      <alignment horizontal="center"/>
    </xf>
    <xf numFmtId="10" fontId="13" fillId="6" borderId="0" xfId="0" applyNumberFormat="1" applyFont="1" applyFill="1" applyAlignment="1">
      <alignment horizontal="center"/>
    </xf>
    <xf numFmtId="0" fontId="27" fillId="0" borderId="17" xfId="0" applyFont="1" applyBorder="1" applyAlignment="1">
      <alignment wrapText="1"/>
    </xf>
    <xf numFmtId="0" fontId="27" fillId="0" borderId="13" xfId="0" applyFont="1" applyBorder="1" applyAlignment="1">
      <alignment horizontal="center" wrapText="1"/>
    </xf>
    <xf numFmtId="4" fontId="30" fillId="8" borderId="11" xfId="0" applyNumberFormat="1" applyFont="1" applyFill="1" applyBorder="1" applyAlignment="1">
      <alignment wrapText="1"/>
    </xf>
    <xf numFmtId="4" fontId="27" fillId="0" borderId="17" xfId="0" applyNumberFormat="1" applyFont="1" applyBorder="1" applyAlignment="1">
      <alignment wrapText="1"/>
    </xf>
    <xf numFmtId="165" fontId="28" fillId="0" borderId="11" xfId="1" applyNumberFormat="1" applyFont="1" applyBorder="1"/>
    <xf numFmtId="0" fontId="14" fillId="9" borderId="12" xfId="0" applyFont="1" applyFill="1" applyBorder="1" applyAlignment="1">
      <alignment wrapText="1"/>
    </xf>
    <xf numFmtId="164" fontId="14" fillId="9" borderId="17" xfId="1" applyNumberFormat="1" applyFont="1" applyFill="1" applyBorder="1" applyAlignment="1">
      <alignment wrapText="1"/>
    </xf>
    <xf numFmtId="0" fontId="27" fillId="0" borderId="0" xfId="0" applyFont="1" applyAlignment="1">
      <alignment wrapText="1"/>
    </xf>
    <xf numFmtId="0" fontId="28" fillId="0" borderId="11" xfId="0" applyFont="1" applyBorder="1"/>
    <xf numFmtId="0" fontId="28" fillId="0" borderId="0" xfId="0" applyFont="1"/>
    <xf numFmtId="164" fontId="14" fillId="0" borderId="0" xfId="1" applyNumberFormat="1" applyFont="1" applyBorder="1" applyAlignment="1">
      <alignment wrapText="1"/>
    </xf>
    <xf numFmtId="164" fontId="14" fillId="9" borderId="0" xfId="1" applyNumberFormat="1" applyFont="1" applyFill="1" applyBorder="1" applyAlignment="1">
      <alignment wrapText="1"/>
    </xf>
    <xf numFmtId="165" fontId="13" fillId="0" borderId="0" xfId="1" applyNumberFormat="1" applyFont="1" applyFill="1" applyBorder="1" applyAlignment="1">
      <alignment horizontal="center"/>
    </xf>
    <xf numFmtId="0" fontId="13" fillId="0" borderId="17" xfId="0" applyFont="1" applyBorder="1" applyAlignment="1">
      <alignment wrapText="1"/>
    </xf>
    <xf numFmtId="168" fontId="13" fillId="0" borderId="17" xfId="0" applyNumberFormat="1" applyFont="1" applyBorder="1" applyAlignment="1">
      <alignment wrapText="1"/>
    </xf>
    <xf numFmtId="168" fontId="13" fillId="0" borderId="0" xfId="0" applyNumberFormat="1" applyFont="1" applyAlignment="1">
      <alignment wrapText="1"/>
    </xf>
    <xf numFmtId="0" fontId="13" fillId="6" borderId="0" xfId="0" applyFont="1" applyFill="1"/>
    <xf numFmtId="168" fontId="13" fillId="0" borderId="17" xfId="1" applyNumberFormat="1" applyFont="1" applyBorder="1" applyAlignment="1">
      <alignment wrapText="1"/>
    </xf>
    <xf numFmtId="168" fontId="13" fillId="0" borderId="0" xfId="1" applyNumberFormat="1" applyFont="1" applyBorder="1" applyAlignment="1">
      <alignment wrapText="1"/>
    </xf>
    <xf numFmtId="165" fontId="13" fillId="0" borderId="0" xfId="1" applyNumberFormat="1" applyFont="1" applyFill="1" applyAlignment="1">
      <alignment horizontal="center"/>
    </xf>
    <xf numFmtId="167" fontId="13" fillId="0" borderId="0" xfId="0" applyNumberFormat="1" applyFont="1" applyAlignment="1">
      <alignment horizontal="center"/>
    </xf>
    <xf numFmtId="10" fontId="13" fillId="0" borderId="0" xfId="1" applyNumberFormat="1" applyFont="1" applyFill="1" applyAlignment="1">
      <alignment horizontal="center"/>
    </xf>
    <xf numFmtId="10" fontId="13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165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2" fillId="0" borderId="0" xfId="0" applyNumberFormat="1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center"/>
    </xf>
    <xf numFmtId="2" fontId="31" fillId="6" borderId="11" xfId="0" applyNumberFormat="1" applyFont="1" applyFill="1" applyBorder="1" applyAlignment="1">
      <alignment horizontal="center"/>
    </xf>
    <xf numFmtId="0" fontId="13" fillId="0" borderId="11" xfId="0" applyFont="1" applyBorder="1" applyAlignment="1">
      <alignment wrapText="1"/>
    </xf>
    <xf numFmtId="168" fontId="13" fillId="0" borderId="11" xfId="0" applyNumberFormat="1" applyFont="1" applyBorder="1" applyAlignment="1">
      <alignment wrapText="1"/>
    </xf>
    <xf numFmtId="0" fontId="0" fillId="0" borderId="11" xfId="0" applyBorder="1"/>
    <xf numFmtId="168" fontId="13" fillId="0" borderId="11" xfId="1" applyNumberFormat="1" applyFont="1" applyBorder="1" applyAlignment="1">
      <alignment wrapText="1"/>
    </xf>
    <xf numFmtId="164" fontId="19" fillId="0" borderId="0" xfId="0" applyNumberFormat="1" applyFont="1"/>
    <xf numFmtId="43" fontId="19" fillId="0" borderId="0" xfId="0" applyNumberFormat="1" applyFont="1"/>
    <xf numFmtId="164" fontId="19" fillId="0" borderId="0" xfId="1" applyNumberFormat="1" applyFont="1"/>
    <xf numFmtId="0" fontId="14" fillId="10" borderId="12" xfId="0" applyFont="1" applyFill="1" applyBorder="1" applyAlignment="1">
      <alignment wrapText="1"/>
    </xf>
    <xf numFmtId="164" fontId="19" fillId="10" borderId="0" xfId="0" applyNumberFormat="1" applyFont="1" applyFill="1"/>
    <xf numFmtId="164" fontId="19" fillId="9" borderId="0" xfId="0" applyNumberFormat="1" applyFont="1" applyFill="1"/>
    <xf numFmtId="0" fontId="19" fillId="9" borderId="0" xfId="0" applyFont="1" applyFill="1"/>
    <xf numFmtId="164" fontId="19" fillId="9" borderId="0" xfId="1" applyNumberFormat="1" applyFont="1" applyFill="1"/>
    <xf numFmtId="164" fontId="20" fillId="0" borderId="0" xfId="0" applyNumberFormat="1" applyFont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wrapText="1"/>
    </xf>
    <xf numFmtId="0" fontId="25" fillId="5" borderId="16" xfId="0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365ku.sharepoint.com/sites/PigPork/Shared%20Documents/Training/CBA/Case%20study/&#3650;&#3592;&#3607;&#3618;&#3660;&#3607;&#3640;&#3648;&#3619;&#3637;&#3618;&#3609;.xlsx" TargetMode="External"/><Relationship Id="rId1" Type="http://schemas.openxmlformats.org/officeDocument/2006/relationships/externalLinkPath" Target="https://o365ku.sharepoint.com/sites/PigPork/Shared%20Documents/Training/CBA/Case%20study/&#3650;&#3592;&#3607;&#3618;&#3660;&#3607;&#3640;&#3648;&#3619;&#3637;&#3618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ค่าเสื่อม"/>
      <sheetName val="CBA"/>
      <sheetName val="Investment analysis"/>
      <sheetName val="การลงทุนและค่าเสื่อม"/>
      <sheetName val="CBA - Practice"/>
      <sheetName val="Investment analysis - Practice"/>
      <sheetName val="Price"/>
    </sheetNames>
    <sheetDataSet>
      <sheetData sheetId="0">
        <row r="23">
          <cell r="N23">
            <v>26650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DA6D0-6730-40FA-9584-7F25BC8CD0D0}">
  <dimension ref="A1:P32"/>
  <sheetViews>
    <sheetView topLeftCell="E1" workbookViewId="0">
      <selection activeCell="O3" sqref="O3"/>
    </sheetView>
  </sheetViews>
  <sheetFormatPr defaultRowHeight="15.5" x14ac:dyDescent="0.35"/>
  <cols>
    <col min="1" max="1" width="18.33203125" customWidth="1"/>
    <col min="2" max="2" width="12.33203125" bestFit="1" customWidth="1"/>
    <col min="3" max="3" width="12.83203125" customWidth="1"/>
    <col min="4" max="4" width="12.08203125" customWidth="1"/>
    <col min="5" max="5" width="23.75" customWidth="1"/>
    <col min="6" max="6" width="15.58203125" customWidth="1"/>
    <col min="7" max="7" width="12.83203125" customWidth="1"/>
    <col min="10" max="10" width="16.33203125" customWidth="1"/>
    <col min="11" max="11" width="12.83203125" customWidth="1"/>
    <col min="14" max="14" width="10.75" customWidth="1"/>
    <col min="15" max="15" width="13.5" bestFit="1" customWidth="1"/>
  </cols>
  <sheetData>
    <row r="1" spans="1:16" ht="24.5" thickBot="1" x14ac:dyDescent="0.85">
      <c r="E1" s="8"/>
      <c r="F1" s="8"/>
      <c r="G1" s="8"/>
    </row>
    <row r="2" spans="1:16" ht="24" x14ac:dyDescent="0.8">
      <c r="A2" s="194" t="s">
        <v>0</v>
      </c>
      <c r="B2" s="195"/>
      <c r="C2" s="195"/>
      <c r="D2" s="195"/>
      <c r="E2" s="195"/>
      <c r="F2" s="195"/>
      <c r="G2" s="196"/>
      <c r="J2" s="62" t="s">
        <v>1</v>
      </c>
      <c r="N2" t="s">
        <v>2</v>
      </c>
    </row>
    <row r="3" spans="1:16" ht="24.5" thickBot="1" x14ac:dyDescent="0.85">
      <c r="A3" s="197" t="s">
        <v>3</v>
      </c>
      <c r="B3" s="198"/>
      <c r="C3" s="198"/>
      <c r="D3" s="198"/>
      <c r="E3" s="198"/>
      <c r="F3" s="198"/>
      <c r="G3" s="199"/>
      <c r="J3" t="s">
        <v>4</v>
      </c>
      <c r="K3" s="12">
        <f>C12/G4</f>
        <v>2.7914953605914303</v>
      </c>
      <c r="N3" t="s">
        <v>5</v>
      </c>
      <c r="O3" s="11">
        <f>+(D31+D29-G20-G19)/D16%</f>
        <v>37.675422813961859</v>
      </c>
      <c r="P3" t="s">
        <v>6</v>
      </c>
    </row>
    <row r="4" spans="1:16" ht="24" x14ac:dyDescent="0.8">
      <c r="A4" s="54" t="s">
        <v>7</v>
      </c>
      <c r="B4" s="55"/>
      <c r="C4" s="55">
        <f>SUM(B5:B6)</f>
        <v>560000</v>
      </c>
      <c r="D4" s="37"/>
      <c r="E4" s="56" t="s">
        <v>8</v>
      </c>
      <c r="F4" s="37"/>
      <c r="G4" s="57">
        <f>+SUM(F5:F7)</f>
        <v>530240</v>
      </c>
      <c r="J4" t="s">
        <v>9</v>
      </c>
      <c r="K4" s="12">
        <f>G9/C12</f>
        <v>0.64176906251847343</v>
      </c>
      <c r="N4" t="s">
        <v>10</v>
      </c>
      <c r="O4" s="11">
        <f>(D31+D29-G20-G19)/G9%</f>
        <v>11.021951790803985</v>
      </c>
      <c r="P4" t="s">
        <v>6</v>
      </c>
    </row>
    <row r="5" spans="1:16" ht="24" x14ac:dyDescent="0.8">
      <c r="A5" s="44" t="s">
        <v>11</v>
      </c>
      <c r="B5" s="45">
        <v>230000</v>
      </c>
      <c r="C5" s="45"/>
      <c r="D5" s="8"/>
      <c r="E5" s="46" t="s">
        <v>12</v>
      </c>
      <c r="F5" s="47">
        <v>6700</v>
      </c>
      <c r="G5" s="48"/>
      <c r="J5" t="s">
        <v>13</v>
      </c>
      <c r="K5" s="12">
        <f>C4/G4</f>
        <v>1.0561255280627639</v>
      </c>
      <c r="N5" t="s">
        <v>14</v>
      </c>
      <c r="O5" s="11">
        <f>(D31+D29-G20-G19)/K12*100</f>
        <v>7.9987012614952686</v>
      </c>
      <c r="P5" t="s">
        <v>6</v>
      </c>
    </row>
    <row r="6" spans="1:16" ht="24" x14ac:dyDescent="0.8">
      <c r="A6" s="44" t="s">
        <v>15</v>
      </c>
      <c r="B6" s="45">
        <v>330000</v>
      </c>
      <c r="C6" s="45"/>
      <c r="D6" s="8"/>
      <c r="E6" s="46" t="s">
        <v>16</v>
      </c>
      <c r="F6" s="47">
        <v>23540</v>
      </c>
      <c r="G6" s="48"/>
      <c r="J6" t="s">
        <v>17</v>
      </c>
      <c r="K6" s="12">
        <f>(C4+C7)/(F5+F6)</f>
        <v>22.492146164021165</v>
      </c>
    </row>
    <row r="7" spans="1:16" ht="24" x14ac:dyDescent="0.8">
      <c r="A7" s="41" t="s">
        <v>18</v>
      </c>
      <c r="B7" s="42"/>
      <c r="C7" s="42">
        <f>SUM(B8:B10)</f>
        <v>120162.5</v>
      </c>
      <c r="D7" s="8"/>
      <c r="E7" s="46" t="s">
        <v>19</v>
      </c>
      <c r="F7" s="45">
        <v>500000</v>
      </c>
      <c r="G7" s="48"/>
      <c r="K7" s="12"/>
    </row>
    <row r="8" spans="1:16" ht="24" x14ac:dyDescent="0.8">
      <c r="A8" s="44" t="s">
        <v>20</v>
      </c>
      <c r="B8" s="45">
        <v>30000</v>
      </c>
      <c r="C8" s="45"/>
      <c r="D8" s="8"/>
      <c r="E8" s="8"/>
      <c r="F8" s="8"/>
      <c r="G8" s="48"/>
      <c r="J8" s="62" t="s">
        <v>21</v>
      </c>
      <c r="K8" s="12"/>
      <c r="N8" t="s">
        <v>22</v>
      </c>
    </row>
    <row r="9" spans="1:16" ht="24" x14ac:dyDescent="0.8">
      <c r="A9" s="44" t="s">
        <v>23</v>
      </c>
      <c r="B9" s="45">
        <v>24532.5</v>
      </c>
      <c r="C9" s="45"/>
      <c r="D9" s="8"/>
      <c r="E9" s="10" t="s">
        <v>24</v>
      </c>
      <c r="F9" s="8"/>
      <c r="G9" s="43">
        <f>+C12-G4</f>
        <v>949922.5</v>
      </c>
      <c r="J9" t="s">
        <v>25</v>
      </c>
      <c r="K9" s="12">
        <f>G4/K15</f>
        <v>0.55819290521068821</v>
      </c>
      <c r="N9" t="s">
        <v>26</v>
      </c>
      <c r="O9" s="12">
        <f>D31/C12%</f>
        <v>11.566297619349227</v>
      </c>
      <c r="P9" t="s">
        <v>6</v>
      </c>
    </row>
    <row r="10" spans="1:16" ht="24" x14ac:dyDescent="0.8">
      <c r="A10" s="44" t="s">
        <v>27</v>
      </c>
      <c r="B10" s="45">
        <v>65630</v>
      </c>
      <c r="C10" s="45"/>
      <c r="D10" s="8"/>
      <c r="E10" s="8"/>
      <c r="F10" s="8"/>
      <c r="G10" s="48"/>
      <c r="J10" t="s">
        <v>28</v>
      </c>
      <c r="K10" s="12">
        <f>G4/C12</f>
        <v>0.35823093748152651</v>
      </c>
      <c r="N10" t="s">
        <v>29</v>
      </c>
      <c r="O10" s="12">
        <f>C20/D16%</f>
        <v>23.785534364879453</v>
      </c>
      <c r="P10" t="s">
        <v>6</v>
      </c>
    </row>
    <row r="11" spans="1:16" ht="24" x14ac:dyDescent="0.8">
      <c r="A11" s="41" t="s">
        <v>30</v>
      </c>
      <c r="B11" s="42"/>
      <c r="C11" s="42">
        <v>800000</v>
      </c>
      <c r="D11" s="8"/>
      <c r="E11" s="8"/>
      <c r="F11" s="8"/>
      <c r="G11" s="48"/>
      <c r="K11" s="12"/>
      <c r="N11" t="s">
        <v>31</v>
      </c>
      <c r="O11" s="12">
        <f>C25/D16%</f>
        <v>2.9147175242893129</v>
      </c>
      <c r="P11" t="s">
        <v>6</v>
      </c>
    </row>
    <row r="12" spans="1:16" ht="24.5" thickBot="1" x14ac:dyDescent="0.85">
      <c r="A12" s="49" t="s">
        <v>32</v>
      </c>
      <c r="B12" s="50"/>
      <c r="C12" s="51">
        <f>C4+C7+C11</f>
        <v>1480162.5</v>
      </c>
      <c r="D12" s="50"/>
      <c r="E12" s="52" t="s">
        <v>33</v>
      </c>
      <c r="F12" s="50"/>
      <c r="G12" s="53">
        <f>G4+G9</f>
        <v>1480162.5</v>
      </c>
      <c r="J12" t="s">
        <v>34</v>
      </c>
      <c r="K12" s="14">
        <f>+C12-D31</f>
        <v>1308962.5</v>
      </c>
      <c r="N12" t="s">
        <v>35</v>
      </c>
      <c r="O12" s="12">
        <f>+(C20+C25)/D16%</f>
        <v>26.700251889168765</v>
      </c>
      <c r="P12" t="s">
        <v>6</v>
      </c>
    </row>
    <row r="13" spans="1:16" ht="24.5" thickBot="1" x14ac:dyDescent="0.85">
      <c r="E13" s="8"/>
      <c r="F13" s="8"/>
      <c r="G13" s="9"/>
      <c r="J13" t="s">
        <v>36</v>
      </c>
      <c r="K13" s="14">
        <f>G4+D29</f>
        <v>562740</v>
      </c>
    </row>
    <row r="14" spans="1:16" ht="24" x14ac:dyDescent="0.8">
      <c r="A14" s="36"/>
      <c r="B14" s="56" t="s">
        <v>37</v>
      </c>
      <c r="C14" s="37"/>
      <c r="D14" s="38"/>
      <c r="E14" s="8"/>
      <c r="F14" s="8"/>
      <c r="G14" s="8"/>
      <c r="H14" s="8"/>
      <c r="J14" t="s">
        <v>38</v>
      </c>
      <c r="K14" s="14">
        <f>K12-K13</f>
        <v>746222.5</v>
      </c>
    </row>
    <row r="15" spans="1:16" ht="24.5" thickBot="1" x14ac:dyDescent="0.85">
      <c r="A15" s="39"/>
      <c r="B15" s="10" t="s">
        <v>39</v>
      </c>
      <c r="C15" s="8"/>
      <c r="D15" s="40"/>
      <c r="E15" s="8"/>
      <c r="F15" s="8"/>
      <c r="G15" s="8"/>
      <c r="H15" s="8"/>
      <c r="J15" t="s">
        <v>40</v>
      </c>
      <c r="K15" s="14">
        <f>+C12-G4</f>
        <v>949922.5</v>
      </c>
      <c r="N15" t="s">
        <v>41</v>
      </c>
    </row>
    <row r="16" spans="1:16" ht="24" x14ac:dyDescent="0.8">
      <c r="A16" s="54" t="s">
        <v>42</v>
      </c>
      <c r="B16" s="56"/>
      <c r="C16" s="55"/>
      <c r="D16" s="57">
        <f>+C17+C18</f>
        <v>277900</v>
      </c>
      <c r="E16" s="8"/>
      <c r="F16" s="8" t="s">
        <v>43</v>
      </c>
      <c r="G16" s="9">
        <v>120</v>
      </c>
      <c r="H16" s="8" t="s">
        <v>44</v>
      </c>
      <c r="J16" t="s">
        <v>45</v>
      </c>
      <c r="K16" s="11">
        <f>(K14+K15)/2</f>
        <v>848072.5</v>
      </c>
      <c r="N16" t="s">
        <v>46</v>
      </c>
      <c r="O16" s="11">
        <f>D31-G19</f>
        <v>135200</v>
      </c>
    </row>
    <row r="17" spans="1:16" ht="24" x14ac:dyDescent="0.8">
      <c r="A17" s="44" t="s">
        <v>47</v>
      </c>
      <c r="B17" s="8"/>
      <c r="C17" s="45">
        <f>8300*13</f>
        <v>107900</v>
      </c>
      <c r="D17" s="48"/>
      <c r="E17" s="8" t="s">
        <v>48</v>
      </c>
      <c r="F17" s="8" t="s">
        <v>49</v>
      </c>
      <c r="G17" s="9">
        <v>210</v>
      </c>
      <c r="H17" s="8" t="s">
        <v>44</v>
      </c>
      <c r="N17" t="s">
        <v>50</v>
      </c>
      <c r="O17" s="11">
        <f>O16-K16*(O5/100)</f>
        <v>67365.214244105548</v>
      </c>
    </row>
    <row r="18" spans="1:16" ht="24" x14ac:dyDescent="0.8">
      <c r="A18" s="44" t="s">
        <v>51</v>
      </c>
      <c r="B18" s="8"/>
      <c r="C18" s="45">
        <f>8500*20</f>
        <v>170000</v>
      </c>
      <c r="D18" s="48"/>
      <c r="E18" s="8" t="s">
        <v>52</v>
      </c>
      <c r="F18" s="8" t="s">
        <v>53</v>
      </c>
      <c r="G18" s="9">
        <v>300</v>
      </c>
      <c r="H18" s="8" t="s">
        <v>54</v>
      </c>
      <c r="N18" t="s">
        <v>55</v>
      </c>
      <c r="O18" s="11">
        <f>O17/G17*8</f>
        <v>2566.2938759659255</v>
      </c>
      <c r="P18" t="s">
        <v>56</v>
      </c>
    </row>
    <row r="19" spans="1:16" ht="24" x14ac:dyDescent="0.8">
      <c r="A19" s="39" t="s">
        <v>57</v>
      </c>
      <c r="B19" s="45"/>
      <c r="C19" s="45"/>
      <c r="D19" s="58">
        <f>+C20+C25</f>
        <v>74200</v>
      </c>
      <c r="E19" s="8"/>
      <c r="F19" s="8" t="s">
        <v>58</v>
      </c>
      <c r="G19" s="9">
        <f>G16*G18</f>
        <v>36000</v>
      </c>
      <c r="H19" s="8"/>
      <c r="N19" t="s">
        <v>59</v>
      </c>
      <c r="O19" s="11">
        <f>O16-G17*G18</f>
        <v>72200</v>
      </c>
    </row>
    <row r="20" spans="1:16" ht="24" x14ac:dyDescent="0.8">
      <c r="A20" s="44" t="s">
        <v>60</v>
      </c>
      <c r="B20" s="45"/>
      <c r="C20" s="45">
        <f>+B21+B22+B23+B24</f>
        <v>66100</v>
      </c>
      <c r="D20" s="40"/>
      <c r="E20" s="8"/>
      <c r="F20" s="8" t="s">
        <v>61</v>
      </c>
      <c r="G20" s="9">
        <f>G17*G18</f>
        <v>63000</v>
      </c>
      <c r="H20" s="8"/>
      <c r="N20" t="s">
        <v>41</v>
      </c>
      <c r="O20" s="11">
        <f>O17-G20</f>
        <v>4365.2142441055476</v>
      </c>
    </row>
    <row r="21" spans="1:16" ht="24" x14ac:dyDescent="0.8">
      <c r="A21" s="59" t="s">
        <v>62</v>
      </c>
      <c r="B21" s="45">
        <f>80*20+2000*13</f>
        <v>27600</v>
      </c>
      <c r="C21" s="45"/>
      <c r="D21" s="40"/>
      <c r="E21" s="8"/>
      <c r="F21" s="8"/>
      <c r="G21" s="8"/>
      <c r="H21" s="8"/>
    </row>
    <row r="22" spans="1:16" ht="24" x14ac:dyDescent="0.8">
      <c r="A22" s="59" t="s">
        <v>63</v>
      </c>
      <c r="B22" s="45">
        <f>2500*13</f>
        <v>32500</v>
      </c>
      <c r="C22" s="45"/>
      <c r="D22" s="40"/>
      <c r="E22" s="8"/>
      <c r="F22" s="8"/>
      <c r="G22" s="8"/>
      <c r="H22" s="8"/>
      <c r="O22" s="11"/>
    </row>
    <row r="23" spans="1:16" ht="24" x14ac:dyDescent="0.8">
      <c r="A23" s="59" t="s">
        <v>64</v>
      </c>
      <c r="B23" s="45">
        <v>5400</v>
      </c>
      <c r="C23" s="45"/>
      <c r="D23" s="40"/>
      <c r="E23" s="8"/>
      <c r="F23" s="8"/>
      <c r="G23" s="8"/>
      <c r="H23" s="8"/>
    </row>
    <row r="24" spans="1:16" ht="24" x14ac:dyDescent="0.8">
      <c r="A24" s="59" t="s">
        <v>65</v>
      </c>
      <c r="B24" s="45">
        <v>600</v>
      </c>
      <c r="C24" s="45"/>
      <c r="D24" s="40"/>
      <c r="E24" s="8"/>
      <c r="F24" s="8"/>
      <c r="G24" s="8"/>
      <c r="H24" s="8"/>
    </row>
    <row r="25" spans="1:16" ht="24" x14ac:dyDescent="0.8">
      <c r="A25" s="44" t="s">
        <v>66</v>
      </c>
      <c r="B25" s="45"/>
      <c r="C25" s="45">
        <f>+B26+B27</f>
        <v>8100</v>
      </c>
      <c r="D25" s="58"/>
      <c r="E25" s="8"/>
      <c r="F25" s="8"/>
      <c r="G25" s="8"/>
      <c r="H25" s="8"/>
    </row>
    <row r="26" spans="1:16" ht="24" x14ac:dyDescent="0.8">
      <c r="A26" s="59" t="s">
        <v>67</v>
      </c>
      <c r="B26" s="45">
        <v>7600</v>
      </c>
      <c r="C26" s="45"/>
      <c r="D26" s="40"/>
      <c r="E26" s="8"/>
      <c r="F26" s="8"/>
      <c r="G26" s="8"/>
      <c r="H26" s="8"/>
    </row>
    <row r="27" spans="1:16" ht="24" x14ac:dyDescent="0.8">
      <c r="A27" s="59" t="s">
        <v>68</v>
      </c>
      <c r="B27" s="45">
        <v>500</v>
      </c>
      <c r="C27" s="45"/>
      <c r="D27" s="40"/>
      <c r="E27" s="8"/>
      <c r="F27" s="8"/>
      <c r="G27" s="8"/>
      <c r="H27" s="8"/>
    </row>
    <row r="28" spans="1:16" ht="24" x14ac:dyDescent="0.8">
      <c r="A28" s="44" t="s">
        <v>69</v>
      </c>
      <c r="B28" s="45"/>
      <c r="C28" s="45"/>
      <c r="D28" s="58">
        <f>+D16-D19</f>
        <v>203700</v>
      </c>
      <c r="E28" s="8"/>
      <c r="F28" s="8"/>
      <c r="G28" s="8"/>
      <c r="H28" s="8"/>
    </row>
    <row r="29" spans="1:16" ht="24" x14ac:dyDescent="0.8">
      <c r="A29" s="59" t="s">
        <v>70</v>
      </c>
      <c r="B29" s="45"/>
      <c r="C29" s="45"/>
      <c r="D29" s="58">
        <f>+F7*0.065</f>
        <v>32500</v>
      </c>
      <c r="E29" s="8"/>
      <c r="F29" s="8"/>
      <c r="G29" s="8"/>
      <c r="H29" s="8"/>
    </row>
    <row r="30" spans="1:16" ht="24" x14ac:dyDescent="0.8">
      <c r="A30" s="59" t="s">
        <v>71</v>
      </c>
      <c r="B30" s="45"/>
      <c r="C30" s="45"/>
      <c r="D30" s="58">
        <v>0</v>
      </c>
      <c r="E30" s="8"/>
      <c r="F30" s="8"/>
      <c r="G30" s="8"/>
      <c r="H30" s="8"/>
    </row>
    <row r="31" spans="1:16" ht="24.5" thickBot="1" x14ac:dyDescent="0.85">
      <c r="A31" s="49" t="s">
        <v>72</v>
      </c>
      <c r="B31" s="60"/>
      <c r="C31" s="60"/>
      <c r="D31" s="61">
        <f>+D28-D29</f>
        <v>171200</v>
      </c>
      <c r="E31" s="8"/>
      <c r="F31" s="8"/>
      <c r="G31" s="8"/>
    </row>
    <row r="32" spans="1:16" x14ac:dyDescent="0.35">
      <c r="B32" s="13"/>
      <c r="C32" s="13"/>
    </row>
  </sheetData>
  <mergeCells count="2"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C21D-5FD6-42F0-BD00-9F29772C5C40}">
  <dimension ref="A1:E17"/>
  <sheetViews>
    <sheetView workbookViewId="0">
      <selection activeCell="A2" sqref="A2:E2"/>
    </sheetView>
  </sheetViews>
  <sheetFormatPr defaultRowHeight="15.5" x14ac:dyDescent="0.35"/>
  <cols>
    <col min="1" max="1" width="18.58203125" customWidth="1"/>
    <col min="2" max="2" width="10.5" bestFit="1" customWidth="1"/>
  </cols>
  <sheetData>
    <row r="1" spans="1:5" ht="21" customHeight="1" x14ac:dyDescent="0.35">
      <c r="A1" s="200" t="s">
        <v>73</v>
      </c>
      <c r="B1" s="200"/>
      <c r="C1" s="200"/>
      <c r="D1" s="200"/>
      <c r="E1" s="200"/>
    </row>
    <row r="2" spans="1:5" ht="21" x14ac:dyDescent="0.35">
      <c r="A2" s="201" t="s">
        <v>3</v>
      </c>
      <c r="B2" s="201"/>
      <c r="C2" s="201"/>
      <c r="D2" s="201"/>
      <c r="E2" s="201"/>
    </row>
    <row r="3" spans="1:5" ht="21" x14ac:dyDescent="0.35">
      <c r="A3" s="2" t="s">
        <v>74</v>
      </c>
      <c r="B3" s="1"/>
      <c r="C3" s="1"/>
      <c r="D3" s="2" t="s">
        <v>75</v>
      </c>
      <c r="E3" s="1"/>
    </row>
    <row r="4" spans="1:5" ht="21" x14ac:dyDescent="0.35">
      <c r="A4" s="2" t="s">
        <v>7</v>
      </c>
      <c r="B4" s="15">
        <f>+SUM(B5:B8)</f>
        <v>547500</v>
      </c>
      <c r="C4" s="1"/>
      <c r="D4" s="2" t="s">
        <v>76</v>
      </c>
      <c r="E4" s="3">
        <f>+E5+E6</f>
        <v>45000</v>
      </c>
    </row>
    <row r="5" spans="1:5" ht="21" x14ac:dyDescent="0.35">
      <c r="A5" s="4" t="s">
        <v>77</v>
      </c>
      <c r="B5" s="5">
        <v>17500</v>
      </c>
      <c r="C5" s="1"/>
      <c r="D5" s="4" t="s">
        <v>78</v>
      </c>
      <c r="E5" s="5">
        <v>30000</v>
      </c>
    </row>
    <row r="6" spans="1:5" ht="21" x14ac:dyDescent="0.35">
      <c r="A6" s="4" t="s">
        <v>79</v>
      </c>
      <c r="B6" s="5">
        <v>32000</v>
      </c>
      <c r="C6" s="1"/>
      <c r="D6" s="4" t="s">
        <v>80</v>
      </c>
      <c r="E6" s="5">
        <v>15000</v>
      </c>
    </row>
    <row r="7" spans="1:5" ht="21" x14ac:dyDescent="0.35">
      <c r="A7" s="4" t="s">
        <v>81</v>
      </c>
      <c r="B7" s="5">
        <v>18000</v>
      </c>
      <c r="C7" s="1"/>
      <c r="D7" s="1"/>
      <c r="E7" s="1"/>
    </row>
    <row r="8" spans="1:5" ht="21" x14ac:dyDescent="0.35">
      <c r="A8" s="4" t="s">
        <v>82</v>
      </c>
      <c r="B8" s="5">
        <v>480000</v>
      </c>
      <c r="C8" s="1"/>
      <c r="D8" s="1"/>
      <c r="E8" s="1"/>
    </row>
    <row r="9" spans="1:5" ht="21" x14ac:dyDescent="0.35">
      <c r="A9" s="2" t="s">
        <v>83</v>
      </c>
      <c r="B9" s="3">
        <f>+B10+B11</f>
        <v>635000</v>
      </c>
      <c r="C9" s="1"/>
      <c r="D9" s="2" t="s">
        <v>16</v>
      </c>
      <c r="E9" s="3">
        <f>+E10</f>
        <v>140000</v>
      </c>
    </row>
    <row r="10" spans="1:5" ht="21" x14ac:dyDescent="0.35">
      <c r="A10" s="4" t="s">
        <v>84</v>
      </c>
      <c r="B10" s="5">
        <v>600000</v>
      </c>
      <c r="C10" s="1"/>
      <c r="D10" s="4" t="s">
        <v>85</v>
      </c>
      <c r="E10" s="5">
        <v>140000</v>
      </c>
    </row>
    <row r="11" spans="1:5" ht="21" x14ac:dyDescent="0.35">
      <c r="A11" s="4" t="s">
        <v>86</v>
      </c>
      <c r="B11" s="6">
        <v>35000</v>
      </c>
      <c r="C11" s="1"/>
      <c r="D11" s="1"/>
      <c r="E11" s="1"/>
    </row>
    <row r="12" spans="1:5" ht="21" x14ac:dyDescent="0.35">
      <c r="A12" s="2" t="s">
        <v>87</v>
      </c>
      <c r="B12" s="3">
        <f>+B13+B14</f>
        <v>2350000</v>
      </c>
      <c r="C12" s="1"/>
      <c r="D12" s="2" t="s">
        <v>19</v>
      </c>
      <c r="E12" s="3">
        <f>+E13</f>
        <v>400000</v>
      </c>
    </row>
    <row r="13" spans="1:5" ht="21" x14ac:dyDescent="0.35">
      <c r="A13" s="4" t="s">
        <v>88</v>
      </c>
      <c r="B13" s="5">
        <v>350000</v>
      </c>
      <c r="C13" s="1"/>
      <c r="D13" s="4" t="s">
        <v>89</v>
      </c>
      <c r="E13" s="5">
        <v>400000</v>
      </c>
    </row>
    <row r="14" spans="1:5" ht="21" x14ac:dyDescent="0.35">
      <c r="A14" s="4" t="s">
        <v>90</v>
      </c>
      <c r="B14" s="16">
        <f>250000*8</f>
        <v>2000000</v>
      </c>
      <c r="C14" s="1"/>
      <c r="D14" s="1"/>
      <c r="E14" s="1"/>
    </row>
    <row r="15" spans="1:5" ht="21" x14ac:dyDescent="0.35">
      <c r="B15" s="1"/>
      <c r="C15" s="1"/>
      <c r="D15" s="2" t="s">
        <v>91</v>
      </c>
      <c r="E15" s="3">
        <f>+E4+E9+E12</f>
        <v>585000</v>
      </c>
    </row>
    <row r="16" spans="1:5" ht="21" x14ac:dyDescent="0.35">
      <c r="A16" s="1"/>
      <c r="B16" s="1"/>
      <c r="C16" s="1"/>
      <c r="D16" s="2" t="s">
        <v>92</v>
      </c>
      <c r="E16" s="17">
        <f>B17-E15</f>
        <v>2947500</v>
      </c>
    </row>
    <row r="17" spans="1:5" ht="21" x14ac:dyDescent="0.35">
      <c r="A17" s="2" t="s">
        <v>93</v>
      </c>
      <c r="B17" s="7">
        <f>+B4+B9+B12</f>
        <v>3532500</v>
      </c>
      <c r="C17" s="1"/>
      <c r="D17" s="2" t="s">
        <v>94</v>
      </c>
      <c r="E17" s="18">
        <f>+E16+E15</f>
        <v>3532500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6B0D-9B1C-4F94-B1AE-17B6AC4EC99D}">
  <dimension ref="A1:T42"/>
  <sheetViews>
    <sheetView topLeftCell="A8" workbookViewId="0">
      <selection activeCell="M21" sqref="M21"/>
    </sheetView>
  </sheetViews>
  <sheetFormatPr defaultRowHeight="15.5" x14ac:dyDescent="0.35"/>
  <cols>
    <col min="1" max="1" width="32" customWidth="1"/>
    <col min="2" max="2" width="11.83203125" customWidth="1"/>
    <col min="3" max="3" width="8.83203125" bestFit="1" customWidth="1"/>
    <col min="5" max="5" width="10.25" customWidth="1"/>
    <col min="8" max="8" width="21.25" customWidth="1"/>
  </cols>
  <sheetData>
    <row r="1" spans="1:20" ht="27.5" thickBot="1" x14ac:dyDescent="0.95">
      <c r="A1" s="94" t="s">
        <v>95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 t="s">
        <v>96</v>
      </c>
    </row>
    <row r="2" spans="1:20" ht="19.5" customHeight="1" x14ac:dyDescent="0.6">
      <c r="A2" s="202" t="s">
        <v>97</v>
      </c>
      <c r="B2" s="19" t="s">
        <v>98</v>
      </c>
      <c r="C2" s="19" t="s">
        <v>99</v>
      </c>
      <c r="D2" s="19" t="s">
        <v>100</v>
      </c>
      <c r="E2" s="204" t="s">
        <v>101</v>
      </c>
      <c r="H2" s="86" t="s">
        <v>97</v>
      </c>
      <c r="I2" s="87" t="s">
        <v>102</v>
      </c>
      <c r="J2" s="87" t="s">
        <v>103</v>
      </c>
      <c r="K2" s="87" t="s">
        <v>104</v>
      </c>
      <c r="L2" s="87" t="s">
        <v>105</v>
      </c>
      <c r="M2" s="87" t="s">
        <v>106</v>
      </c>
      <c r="N2" s="87" t="s">
        <v>107</v>
      </c>
      <c r="O2" s="87" t="s">
        <v>108</v>
      </c>
      <c r="P2" s="88" t="s">
        <v>109</v>
      </c>
      <c r="Q2" s="88" t="s">
        <v>110</v>
      </c>
      <c r="R2" s="88" t="s">
        <v>111</v>
      </c>
      <c r="S2" s="170" t="s">
        <v>112</v>
      </c>
      <c r="T2" s="170" t="s">
        <v>113</v>
      </c>
    </row>
    <row r="3" spans="1:20" ht="24.5" thickBot="1" x14ac:dyDescent="0.85">
      <c r="A3" s="203"/>
      <c r="B3" s="20" t="s">
        <v>114</v>
      </c>
      <c r="C3" s="20" t="s">
        <v>114</v>
      </c>
      <c r="D3" s="20" t="s">
        <v>114</v>
      </c>
      <c r="E3" s="205"/>
      <c r="H3" s="69" t="s">
        <v>115</v>
      </c>
      <c r="I3" s="70">
        <v>1</v>
      </c>
      <c r="J3" s="70" t="s">
        <v>116</v>
      </c>
      <c r="K3" s="71">
        <f>3600*F33</f>
        <v>54000</v>
      </c>
      <c r="L3" s="72">
        <f>I3*K3</f>
        <v>54000</v>
      </c>
      <c r="M3" s="70">
        <v>5</v>
      </c>
      <c r="N3" s="73">
        <v>1000</v>
      </c>
      <c r="O3" s="70">
        <v>1</v>
      </c>
      <c r="P3" s="74">
        <f>((L3/M3)+N3)*O3</f>
        <v>11800</v>
      </c>
      <c r="Q3" s="74">
        <f>(L3+N3)/2</f>
        <v>27500</v>
      </c>
      <c r="R3" s="75">
        <f>+Q3*O3</f>
        <v>27500</v>
      </c>
      <c r="S3" s="74">
        <v>200</v>
      </c>
      <c r="T3" s="74">
        <f>+S3*O3</f>
        <v>200</v>
      </c>
    </row>
    <row r="4" spans="1:20" ht="24.5" thickBot="1" x14ac:dyDescent="0.85">
      <c r="A4" s="21" t="s">
        <v>117</v>
      </c>
      <c r="B4" s="22">
        <f>+B5+B10+B19+B22</f>
        <v>97625</v>
      </c>
      <c r="C4" s="22">
        <f>+C5+C10+C19+C22</f>
        <v>5166.09375</v>
      </c>
      <c r="D4" s="22">
        <f>B4+C4</f>
        <v>102791.09375</v>
      </c>
      <c r="E4" s="32">
        <f t="shared" ref="E4:E13" si="0">D4/$D$28%</f>
        <v>92.038933021436378</v>
      </c>
      <c r="H4" s="76"/>
      <c r="I4" s="77"/>
      <c r="J4" s="77"/>
      <c r="K4" s="78"/>
      <c r="L4" s="72">
        <f t="shared" ref="L4:L9" si="1">I4*K4</f>
        <v>0</v>
      </c>
      <c r="M4" s="70"/>
      <c r="N4" s="73"/>
      <c r="O4" s="70"/>
      <c r="P4" s="74" t="e">
        <f>((L4/M4)+N4)*O4</f>
        <v>#DIV/0!</v>
      </c>
      <c r="Q4" s="74">
        <f>(L4+N4)/2</f>
        <v>0</v>
      </c>
      <c r="R4" s="75">
        <f t="shared" ref="R4:R9" si="2">+Q4*O4</f>
        <v>0</v>
      </c>
      <c r="S4" s="71"/>
      <c r="T4" s="74">
        <f t="shared" ref="T4:T9" si="3">+S4*O4</f>
        <v>0</v>
      </c>
    </row>
    <row r="5" spans="1:20" ht="24.5" thickBot="1" x14ac:dyDescent="0.85">
      <c r="A5" s="30" t="s">
        <v>118</v>
      </c>
      <c r="B5" s="31">
        <f>SUM(B6:B9)</f>
        <v>59925</v>
      </c>
      <c r="C5" s="31">
        <f>SUM(C6:C9)</f>
        <v>0</v>
      </c>
      <c r="D5" s="31">
        <f>SUM(D6:D9)</f>
        <v>59925</v>
      </c>
      <c r="E5" s="32">
        <f t="shared" si="0"/>
        <v>53.656721220651228</v>
      </c>
      <c r="H5" s="76"/>
      <c r="I5" s="77"/>
      <c r="J5" s="77"/>
      <c r="K5" s="78"/>
      <c r="L5" s="72">
        <f t="shared" si="1"/>
        <v>0</v>
      </c>
      <c r="M5" s="70"/>
      <c r="N5" s="73"/>
      <c r="O5" s="70"/>
      <c r="P5" s="74" t="e">
        <f t="shared" ref="P5:P9" si="4">((L5/M5)+N5)*O5</f>
        <v>#DIV/0!</v>
      </c>
      <c r="Q5" s="74">
        <f t="shared" ref="Q5:Q9" si="5">(L5+N5)/2</f>
        <v>0</v>
      </c>
      <c r="R5" s="75">
        <f t="shared" si="2"/>
        <v>0</v>
      </c>
      <c r="S5" s="71"/>
      <c r="T5" s="74">
        <f t="shared" si="3"/>
        <v>0</v>
      </c>
    </row>
    <row r="6" spans="1:20" ht="24.5" thickBot="1" x14ac:dyDescent="0.85">
      <c r="A6" s="28" t="s">
        <v>119</v>
      </c>
      <c r="B6" s="25">
        <f>+F33*1.5*950</f>
        <v>21375</v>
      </c>
      <c r="C6" s="26"/>
      <c r="D6" s="25">
        <f t="shared" ref="D6:D31" si="6">B6+C6</f>
        <v>21375</v>
      </c>
      <c r="E6" s="32">
        <f t="shared" si="0"/>
        <v>19.139130848417523</v>
      </c>
      <c r="H6" s="79"/>
      <c r="I6" s="77"/>
      <c r="J6" s="77"/>
      <c r="K6" s="80"/>
      <c r="L6" s="72">
        <f t="shared" si="1"/>
        <v>0</v>
      </c>
      <c r="M6" s="70"/>
      <c r="N6" s="73"/>
      <c r="O6" s="70"/>
      <c r="P6" s="74" t="e">
        <f t="shared" si="4"/>
        <v>#DIV/0!</v>
      </c>
      <c r="Q6" s="74">
        <f t="shared" si="5"/>
        <v>0</v>
      </c>
      <c r="R6" s="75">
        <f t="shared" si="2"/>
        <v>0</v>
      </c>
      <c r="S6" s="71"/>
      <c r="T6" s="74">
        <f t="shared" si="3"/>
        <v>0</v>
      </c>
    </row>
    <row r="7" spans="1:20" ht="24.5" thickBot="1" x14ac:dyDescent="0.85">
      <c r="A7" s="28" t="s">
        <v>120</v>
      </c>
      <c r="B7" s="25">
        <f>320*F33</f>
        <v>4800</v>
      </c>
      <c r="C7" s="26"/>
      <c r="D7" s="25">
        <f t="shared" si="6"/>
        <v>4800</v>
      </c>
      <c r="E7" s="32">
        <f t="shared" si="0"/>
        <v>4.297910085258672</v>
      </c>
      <c r="H7" s="82"/>
      <c r="I7" s="81"/>
      <c r="J7" s="81"/>
      <c r="K7" s="83"/>
      <c r="L7" s="72">
        <f t="shared" si="1"/>
        <v>0</v>
      </c>
      <c r="M7" s="70"/>
      <c r="N7" s="73"/>
      <c r="O7" s="70"/>
      <c r="P7" s="74" t="e">
        <f t="shared" si="4"/>
        <v>#DIV/0!</v>
      </c>
      <c r="Q7" s="74">
        <f t="shared" si="5"/>
        <v>0</v>
      </c>
      <c r="R7" s="75">
        <f t="shared" si="2"/>
        <v>0</v>
      </c>
      <c r="S7" s="70"/>
      <c r="T7" s="74">
        <f t="shared" si="3"/>
        <v>0</v>
      </c>
    </row>
    <row r="8" spans="1:20" ht="24.5" thickBot="1" x14ac:dyDescent="0.85">
      <c r="A8" s="28" t="s">
        <v>121</v>
      </c>
      <c r="B8" s="25">
        <f>750*F33</f>
        <v>11250</v>
      </c>
      <c r="C8" s="26"/>
      <c r="D8" s="25">
        <f t="shared" si="6"/>
        <v>11250</v>
      </c>
      <c r="E8" s="32">
        <f t="shared" si="0"/>
        <v>10.073226762325012</v>
      </c>
      <c r="H8" s="82"/>
      <c r="I8" s="81"/>
      <c r="J8" s="81"/>
      <c r="K8" s="83"/>
      <c r="L8" s="72">
        <f t="shared" si="1"/>
        <v>0</v>
      </c>
      <c r="M8" s="70"/>
      <c r="N8" s="91"/>
      <c r="O8" s="70"/>
      <c r="P8" s="74" t="e">
        <f t="shared" si="4"/>
        <v>#DIV/0!</v>
      </c>
      <c r="Q8" s="74">
        <f t="shared" si="5"/>
        <v>0</v>
      </c>
      <c r="R8" s="75">
        <f t="shared" si="2"/>
        <v>0</v>
      </c>
      <c r="S8" s="75"/>
      <c r="T8" s="74">
        <f t="shared" si="3"/>
        <v>0</v>
      </c>
    </row>
    <row r="9" spans="1:20" ht="24.5" thickBot="1" x14ac:dyDescent="0.85">
      <c r="A9" s="28" t="s">
        <v>122</v>
      </c>
      <c r="B9" s="25">
        <f>1500*F33</f>
        <v>22500</v>
      </c>
      <c r="C9" s="26"/>
      <c r="D9" s="25">
        <f t="shared" si="6"/>
        <v>22500</v>
      </c>
      <c r="E9" s="32">
        <f t="shared" si="0"/>
        <v>20.146453524650024</v>
      </c>
      <c r="H9" s="69"/>
      <c r="I9" s="70"/>
      <c r="J9" s="70"/>
      <c r="K9" s="71"/>
      <c r="L9" s="72">
        <f t="shared" si="1"/>
        <v>0</v>
      </c>
      <c r="M9" s="70"/>
      <c r="N9" s="73"/>
      <c r="O9" s="70"/>
      <c r="P9" s="74" t="e">
        <f t="shared" si="4"/>
        <v>#DIV/0!</v>
      </c>
      <c r="Q9" s="74">
        <f t="shared" si="5"/>
        <v>0</v>
      </c>
      <c r="R9" s="75">
        <f t="shared" si="2"/>
        <v>0</v>
      </c>
      <c r="S9" s="75"/>
      <c r="T9" s="74">
        <f t="shared" si="3"/>
        <v>0</v>
      </c>
    </row>
    <row r="10" spans="1:20" ht="24.5" thickBot="1" x14ac:dyDescent="0.85">
      <c r="A10" s="30" t="s">
        <v>123</v>
      </c>
      <c r="B10" s="31">
        <f>B11+B12+B18</f>
        <v>34500</v>
      </c>
      <c r="C10" s="31">
        <f>C11+C12+C18</f>
        <v>4800</v>
      </c>
      <c r="D10" s="31">
        <f>D11+D12+D18</f>
        <v>37800</v>
      </c>
      <c r="E10" s="32">
        <f t="shared" si="0"/>
        <v>33.846041921412038</v>
      </c>
      <c r="H10" s="67" t="s">
        <v>124</v>
      </c>
      <c r="I10" s="68"/>
      <c r="J10" s="68"/>
      <c r="K10" s="68"/>
      <c r="L10" s="84">
        <f>SUM(L3:L9)</f>
        <v>54000</v>
      </c>
      <c r="M10" s="68"/>
      <c r="N10" s="68"/>
      <c r="O10" s="68"/>
      <c r="P10" s="85" t="e">
        <f>SUM(P3:P9)</f>
        <v>#DIV/0!</v>
      </c>
      <c r="Q10" s="68"/>
      <c r="R10" s="90">
        <f>SUM(R3:R9)</f>
        <v>27500</v>
      </c>
      <c r="S10" s="90"/>
      <c r="T10" s="90">
        <f>SUM(T3:T9)</f>
        <v>200</v>
      </c>
    </row>
    <row r="11" spans="1:20" ht="18.5" thickBot="1" x14ac:dyDescent="0.4">
      <c r="A11" s="24" t="s">
        <v>125</v>
      </c>
      <c r="B11" s="26"/>
      <c r="C11" s="25">
        <f>+I16*I17</f>
        <v>4800</v>
      </c>
      <c r="D11" s="25">
        <f t="shared" si="6"/>
        <v>4800</v>
      </c>
      <c r="E11" s="32">
        <f t="shared" si="0"/>
        <v>4.297910085258672</v>
      </c>
    </row>
    <row r="12" spans="1:20" ht="21.5" thickBot="1" x14ac:dyDescent="0.75">
      <c r="A12" s="28" t="s">
        <v>126</v>
      </c>
      <c r="B12" s="171">
        <f>+SUM(B13:B15)</f>
        <v>21000</v>
      </c>
      <c r="C12" s="171">
        <f>+SUM(C13:C15)</f>
        <v>0</v>
      </c>
      <c r="D12" s="171">
        <f>+SUM(D13:D15)</f>
        <v>19500</v>
      </c>
      <c r="E12" s="32">
        <f t="shared" si="0"/>
        <v>17.460259721363354</v>
      </c>
      <c r="H12" s="63" t="s">
        <v>127</v>
      </c>
      <c r="I12" s="63">
        <v>1.25</v>
      </c>
      <c r="J12" s="63" t="s">
        <v>128</v>
      </c>
      <c r="K12" s="63">
        <f>I12/100*12</f>
        <v>0.15000000000000002</v>
      </c>
      <c r="L12" s="63" t="s">
        <v>129</v>
      </c>
      <c r="M12" s="63"/>
      <c r="N12" s="63"/>
    </row>
    <row r="13" spans="1:20" ht="21.5" thickBot="1" x14ac:dyDescent="0.75">
      <c r="A13" s="172" t="s">
        <v>130</v>
      </c>
      <c r="B13" s="173">
        <f>+I20*F33</f>
        <v>10500</v>
      </c>
      <c r="C13" s="25"/>
      <c r="D13" s="25">
        <f t="shared" si="6"/>
        <v>10500</v>
      </c>
      <c r="E13" s="32">
        <f t="shared" si="0"/>
        <v>9.4016783115033444</v>
      </c>
      <c r="H13" s="63" t="s">
        <v>131</v>
      </c>
      <c r="I13" s="63">
        <v>3</v>
      </c>
      <c r="J13" s="63" t="s">
        <v>128</v>
      </c>
      <c r="K13" s="63">
        <f>I13/100*12</f>
        <v>0.36</v>
      </c>
      <c r="L13" s="63" t="s">
        <v>129</v>
      </c>
      <c r="M13" s="63"/>
      <c r="N13" s="63"/>
    </row>
    <row r="14" spans="1:20" ht="21.5" thickBot="1" x14ac:dyDescent="0.75">
      <c r="A14" s="172" t="s">
        <v>132</v>
      </c>
      <c r="B14" s="173">
        <f>+I21*F33</f>
        <v>1500</v>
      </c>
      <c r="C14" s="25"/>
      <c r="D14" s="25"/>
      <c r="E14" s="32">
        <f t="shared" ref="E14:E18" si="7">D14/$D$28%</f>
        <v>0</v>
      </c>
      <c r="H14" s="63" t="s">
        <v>133</v>
      </c>
      <c r="I14" s="63">
        <v>2.5</v>
      </c>
      <c r="J14" s="63" t="s">
        <v>134</v>
      </c>
      <c r="K14" s="63"/>
      <c r="L14" s="63"/>
      <c r="M14" s="63"/>
      <c r="N14" s="63"/>
    </row>
    <row r="15" spans="1:20" ht="21.5" thickBot="1" x14ac:dyDescent="0.75">
      <c r="A15" s="172" t="s">
        <v>135</v>
      </c>
      <c r="B15" s="173">
        <f>+I22*F33</f>
        <v>9000</v>
      </c>
      <c r="C15" s="25"/>
      <c r="D15" s="25">
        <f t="shared" si="6"/>
        <v>9000</v>
      </c>
      <c r="E15" s="32">
        <f t="shared" si="7"/>
        <v>8.0585814098600093</v>
      </c>
      <c r="H15" s="63"/>
      <c r="I15" s="63"/>
      <c r="J15" s="63"/>
      <c r="K15" s="63"/>
      <c r="L15" s="63"/>
      <c r="M15" s="63"/>
      <c r="N15" s="63"/>
    </row>
    <row r="16" spans="1:20" ht="21.5" thickBot="1" x14ac:dyDescent="0.75">
      <c r="A16" s="28" t="s">
        <v>136</v>
      </c>
      <c r="B16" s="25">
        <f>+B17+B18</f>
        <v>17250</v>
      </c>
      <c r="C16" s="26"/>
      <c r="D16" s="25">
        <f t="shared" si="6"/>
        <v>17250</v>
      </c>
      <c r="E16" s="32">
        <f t="shared" si="7"/>
        <v>15.445614368898351</v>
      </c>
      <c r="H16" s="63" t="s">
        <v>137</v>
      </c>
      <c r="I16" s="63">
        <v>15</v>
      </c>
      <c r="J16" s="63" t="s">
        <v>138</v>
      </c>
    </row>
    <row r="17" spans="1:10" ht="21.5" thickBot="1" x14ac:dyDescent="0.75">
      <c r="A17" s="172" t="s">
        <v>139</v>
      </c>
      <c r="B17" s="174">
        <f>250*F33</f>
        <v>3750</v>
      </c>
      <c r="C17" s="26"/>
      <c r="D17" s="25"/>
      <c r="E17" s="32">
        <f t="shared" si="7"/>
        <v>0</v>
      </c>
      <c r="H17" s="63" t="s">
        <v>140</v>
      </c>
      <c r="I17" s="63">
        <v>320</v>
      </c>
      <c r="J17" s="63" t="s">
        <v>54</v>
      </c>
    </row>
    <row r="18" spans="1:10" ht="18.5" thickBot="1" x14ac:dyDescent="0.4">
      <c r="A18" s="172" t="s">
        <v>141</v>
      </c>
      <c r="B18" s="174">
        <f>900*F33</f>
        <v>13500</v>
      </c>
      <c r="C18" s="26"/>
      <c r="D18" s="25">
        <f t="shared" si="6"/>
        <v>13500</v>
      </c>
      <c r="E18" s="32">
        <f t="shared" si="7"/>
        <v>12.087872114790015</v>
      </c>
    </row>
    <row r="19" spans="1:10" ht="21.5" thickBot="1" x14ac:dyDescent="0.4">
      <c r="A19" s="33" t="s">
        <v>142</v>
      </c>
      <c r="B19" s="22">
        <f>+SUM(B20:B21)</f>
        <v>3200</v>
      </c>
      <c r="C19" s="22"/>
      <c r="D19" s="22">
        <f>+SUM(D20:D21)</f>
        <v>3200</v>
      </c>
      <c r="E19" s="32">
        <f t="shared" ref="E19:E28" si="8">D19/$D$28%</f>
        <v>2.8652733901724479</v>
      </c>
      <c r="H19" s="175" t="s">
        <v>143</v>
      </c>
      <c r="I19" s="175"/>
      <c r="J19" s="175"/>
    </row>
    <row r="20" spans="1:10" ht="21.5" thickBot="1" x14ac:dyDescent="0.4">
      <c r="A20" s="28" t="s">
        <v>144</v>
      </c>
      <c r="B20" s="25">
        <f>200*F33</f>
        <v>3000</v>
      </c>
      <c r="C20" s="26"/>
      <c r="D20" s="25">
        <f t="shared" si="6"/>
        <v>3000</v>
      </c>
      <c r="E20" s="32">
        <f t="shared" si="8"/>
        <v>2.6861938032866699</v>
      </c>
      <c r="H20" s="175" t="s">
        <v>130</v>
      </c>
      <c r="I20" s="175">
        <v>700</v>
      </c>
      <c r="J20" s="175" t="s">
        <v>145</v>
      </c>
    </row>
    <row r="21" spans="1:10" ht="21.5" thickBot="1" x14ac:dyDescent="0.4">
      <c r="A21" s="28" t="s">
        <v>146</v>
      </c>
      <c r="B21" s="25">
        <f>+T10</f>
        <v>200</v>
      </c>
      <c r="C21" s="26"/>
      <c r="D21" s="25">
        <f t="shared" si="6"/>
        <v>200</v>
      </c>
      <c r="E21" s="32">
        <f t="shared" si="8"/>
        <v>0.17907958688577799</v>
      </c>
      <c r="H21" s="175" t="s">
        <v>132</v>
      </c>
      <c r="I21" s="175">
        <v>100</v>
      </c>
      <c r="J21" s="175" t="s">
        <v>145</v>
      </c>
    </row>
    <row r="22" spans="1:10" ht="21.5" thickBot="1" x14ac:dyDescent="0.4">
      <c r="A22" s="30" t="s">
        <v>147</v>
      </c>
      <c r="B22" s="34"/>
      <c r="C22" s="35">
        <f>+B4*K12/100*I14</f>
        <v>366.09375000000006</v>
      </c>
      <c r="D22" s="22">
        <f t="shared" si="6"/>
        <v>366.09375000000006</v>
      </c>
      <c r="E22" s="32">
        <f t="shared" si="8"/>
        <v>0.32779958755732647</v>
      </c>
      <c r="H22" s="175" t="s">
        <v>148</v>
      </c>
      <c r="I22" s="175">
        <v>600</v>
      </c>
      <c r="J22" s="175" t="s">
        <v>145</v>
      </c>
    </row>
    <row r="23" spans="1:10" ht="21.5" thickBot="1" x14ac:dyDescent="0.4">
      <c r="A23" s="21" t="s">
        <v>149</v>
      </c>
      <c r="B23" s="22">
        <f>+SUM(B24:B27)</f>
        <v>8250</v>
      </c>
      <c r="C23" s="22">
        <f>+SUM(C24:C27)</f>
        <v>641.09375</v>
      </c>
      <c r="D23" s="22">
        <f t="shared" si="6"/>
        <v>8891.09375</v>
      </c>
      <c r="E23" s="32">
        <f t="shared" si="8"/>
        <v>7.961066978563613</v>
      </c>
      <c r="H23" s="176" t="s">
        <v>100</v>
      </c>
      <c r="I23" s="175">
        <f>SUM(I20:I22)</f>
        <v>1400</v>
      </c>
      <c r="J23" s="175" t="s">
        <v>145</v>
      </c>
    </row>
    <row r="24" spans="1:10" ht="21.5" thickBot="1" x14ac:dyDescent="0.4">
      <c r="A24" s="24" t="s">
        <v>150</v>
      </c>
      <c r="B24" s="25">
        <f>500*F33</f>
        <v>7500</v>
      </c>
      <c r="C24" s="26"/>
      <c r="D24" s="25">
        <f t="shared" si="6"/>
        <v>7500</v>
      </c>
      <c r="E24" s="32">
        <f t="shared" si="8"/>
        <v>6.715484508216675</v>
      </c>
      <c r="H24" s="175" t="s">
        <v>136</v>
      </c>
    </row>
    <row r="25" spans="1:10" ht="21.5" thickBot="1" x14ac:dyDescent="0.4">
      <c r="A25" s="24" t="s">
        <v>151</v>
      </c>
      <c r="B25" s="171">
        <f>50*F33</f>
        <v>750</v>
      </c>
      <c r="C25" s="25"/>
      <c r="D25" s="25"/>
      <c r="E25" s="32">
        <f t="shared" si="8"/>
        <v>0</v>
      </c>
      <c r="H25" s="175" t="s">
        <v>139</v>
      </c>
      <c r="I25" s="175">
        <v>250</v>
      </c>
      <c r="J25" s="175" t="s">
        <v>145</v>
      </c>
    </row>
    <row r="26" spans="1:10" ht="21.5" thickBot="1" x14ac:dyDescent="0.4">
      <c r="A26" s="24" t="s">
        <v>152</v>
      </c>
      <c r="B26" s="26"/>
      <c r="C26" s="25">
        <f>+C22</f>
        <v>366.09375000000006</v>
      </c>
      <c r="D26" s="25">
        <f t="shared" si="6"/>
        <v>366.09375000000006</v>
      </c>
      <c r="E26" s="32">
        <f t="shared" si="8"/>
        <v>0.32779958755732647</v>
      </c>
      <c r="H26" s="175" t="s">
        <v>141</v>
      </c>
      <c r="I26" s="175">
        <v>900</v>
      </c>
      <c r="J26" s="175" t="s">
        <v>145</v>
      </c>
    </row>
    <row r="27" spans="1:10" ht="21.5" thickBot="1" x14ac:dyDescent="0.4">
      <c r="A27" s="24" t="s">
        <v>153</v>
      </c>
      <c r="B27" s="26"/>
      <c r="C27" s="25">
        <f>+R10*(I13/100*4/12)</f>
        <v>275</v>
      </c>
      <c r="D27" s="25">
        <f t="shared" si="6"/>
        <v>275</v>
      </c>
      <c r="E27" s="32">
        <f t="shared" si="8"/>
        <v>0.24623443196794473</v>
      </c>
      <c r="H27" s="176" t="s">
        <v>100</v>
      </c>
      <c r="I27" s="175">
        <f>SUM(I25:I26)</f>
        <v>1150</v>
      </c>
      <c r="J27" s="175" t="s">
        <v>145</v>
      </c>
    </row>
    <row r="28" spans="1:10" ht="18.5" thickBot="1" x14ac:dyDescent="0.4">
      <c r="A28" s="21" t="s">
        <v>154</v>
      </c>
      <c r="B28" s="22">
        <f>+B4+B23</f>
        <v>105875</v>
      </c>
      <c r="C28" s="22">
        <f>+C4+C23</f>
        <v>5807.1875</v>
      </c>
      <c r="D28" s="22">
        <f t="shared" si="6"/>
        <v>111682.1875</v>
      </c>
      <c r="E28" s="32">
        <f t="shared" si="8"/>
        <v>99.999999999999986</v>
      </c>
    </row>
    <row r="29" spans="1:10" ht="18.5" thickBot="1" x14ac:dyDescent="0.4">
      <c r="A29" s="21" t="s">
        <v>155</v>
      </c>
      <c r="B29" s="22">
        <f>+B30+B31</f>
        <v>242325</v>
      </c>
      <c r="C29" s="22">
        <f>+C30+C31</f>
        <v>0</v>
      </c>
      <c r="D29" s="22">
        <f>SUM(D30:D31)</f>
        <v>242325</v>
      </c>
      <c r="E29" s="23"/>
    </row>
    <row r="30" spans="1:10" ht="18.5" thickBot="1" x14ac:dyDescent="0.4">
      <c r="A30" s="27" t="s">
        <v>156</v>
      </c>
      <c r="B30" s="25">
        <f>+F34*F37</f>
        <v>236925</v>
      </c>
      <c r="C30" s="26"/>
      <c r="D30" s="25">
        <f t="shared" si="6"/>
        <v>236925</v>
      </c>
      <c r="E30" s="23"/>
    </row>
    <row r="31" spans="1:10" ht="18.5" thickBot="1" x14ac:dyDescent="0.4">
      <c r="A31" s="27" t="s">
        <v>157</v>
      </c>
      <c r="B31" s="25">
        <f>360*F33</f>
        <v>5400</v>
      </c>
      <c r="C31" s="26"/>
      <c r="D31" s="25">
        <f t="shared" si="6"/>
        <v>5400</v>
      </c>
      <c r="E31" s="23"/>
    </row>
    <row r="33" spans="1:8" ht="24" x14ac:dyDescent="0.8">
      <c r="A33" s="10"/>
      <c r="B33" s="66" t="s">
        <v>158</v>
      </c>
      <c r="C33" s="66" t="s">
        <v>145</v>
      </c>
      <c r="D33" s="10"/>
      <c r="E33" s="10" t="s">
        <v>102</v>
      </c>
      <c r="F33" s="92">
        <v>15</v>
      </c>
      <c r="G33" t="s">
        <v>159</v>
      </c>
    </row>
    <row r="34" spans="1:8" ht="24" x14ac:dyDescent="0.8">
      <c r="A34" s="10" t="s">
        <v>160</v>
      </c>
      <c r="B34" s="65">
        <f>+D29-B28</f>
        <v>136450</v>
      </c>
      <c r="C34" s="65">
        <f>+B34/$F$33</f>
        <v>9096.6666666666661</v>
      </c>
      <c r="D34" s="10"/>
      <c r="E34" s="10" t="s">
        <v>161</v>
      </c>
      <c r="F34" s="65">
        <f>+F33*F35</f>
        <v>36450</v>
      </c>
      <c r="G34" s="10" t="s">
        <v>162</v>
      </c>
      <c r="H34" s="95">
        <f>+D29/F33</f>
        <v>16155</v>
      </c>
    </row>
    <row r="35" spans="1:8" ht="24" x14ac:dyDescent="0.8">
      <c r="A35" s="10" t="s">
        <v>163</v>
      </c>
      <c r="B35" s="65">
        <f>+D29-D4</f>
        <v>139533.90625</v>
      </c>
      <c r="C35" s="65">
        <f t="shared" ref="C35:C36" si="9">+B35/$F$33</f>
        <v>9302.2604166666661</v>
      </c>
      <c r="D35" s="10"/>
      <c r="E35" s="10" t="s">
        <v>164</v>
      </c>
      <c r="F35" s="65">
        <v>2430</v>
      </c>
      <c r="G35" s="10" t="s">
        <v>165</v>
      </c>
    </row>
    <row r="36" spans="1:8" ht="24" x14ac:dyDescent="0.8">
      <c r="A36" s="10" t="s">
        <v>166</v>
      </c>
      <c r="B36" s="65">
        <f>+D29-D28</f>
        <v>130642.8125</v>
      </c>
      <c r="C36" s="65">
        <f t="shared" si="9"/>
        <v>8709.5208333333339</v>
      </c>
      <c r="D36" s="10"/>
      <c r="E36" s="10" t="s">
        <v>167</v>
      </c>
      <c r="F36" s="65">
        <f>C42</f>
        <v>7445.479166666667</v>
      </c>
      <c r="G36" s="10" t="s">
        <v>168</v>
      </c>
    </row>
    <row r="37" spans="1:8" ht="24" x14ac:dyDescent="0.8">
      <c r="E37" s="10" t="s">
        <v>169</v>
      </c>
      <c r="F37" s="65">
        <v>6.5</v>
      </c>
      <c r="G37" s="10" t="s">
        <v>168</v>
      </c>
    </row>
    <row r="38" spans="1:8" ht="24" x14ac:dyDescent="0.8">
      <c r="A38" s="10" t="s">
        <v>170</v>
      </c>
      <c r="B38" s="64">
        <f>+B4</f>
        <v>97625</v>
      </c>
      <c r="C38" s="65">
        <f>+B38/$F$33</f>
        <v>6508.333333333333</v>
      </c>
    </row>
    <row r="39" spans="1:8" ht="24" x14ac:dyDescent="0.8">
      <c r="A39" s="10" t="s">
        <v>171</v>
      </c>
      <c r="B39" s="64">
        <f>+C4</f>
        <v>5166.09375</v>
      </c>
      <c r="C39" s="65">
        <f t="shared" ref="C39:C42" si="10">+B39/$F$33</f>
        <v>344.40625</v>
      </c>
    </row>
    <row r="40" spans="1:8" ht="24" x14ac:dyDescent="0.8">
      <c r="A40" s="10" t="s">
        <v>172</v>
      </c>
      <c r="B40" s="64">
        <f>+B23</f>
        <v>8250</v>
      </c>
      <c r="C40" s="65">
        <f t="shared" si="10"/>
        <v>550</v>
      </c>
    </row>
    <row r="41" spans="1:8" ht="24" x14ac:dyDescent="0.8">
      <c r="A41" s="10" t="s">
        <v>173</v>
      </c>
      <c r="B41" s="64">
        <f>+C23</f>
        <v>641.09375</v>
      </c>
      <c r="C41" s="65">
        <f t="shared" si="10"/>
        <v>42.739583333333336</v>
      </c>
    </row>
    <row r="42" spans="1:8" ht="24" x14ac:dyDescent="0.8">
      <c r="A42" s="10" t="s">
        <v>174</v>
      </c>
      <c r="B42" s="64">
        <f>+D28</f>
        <v>111682.1875</v>
      </c>
      <c r="C42" s="65">
        <f t="shared" si="10"/>
        <v>7445.479166666667</v>
      </c>
    </row>
  </sheetData>
  <mergeCells count="2">
    <mergeCell ref="A2:A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725E-C95B-4D60-9908-F47DCBA781B4}">
  <dimension ref="A1:AD96"/>
  <sheetViews>
    <sheetView tabSelected="1" topLeftCell="L35" zoomScale="70" zoomScaleNormal="70" workbookViewId="0">
      <selection activeCell="Q63" sqref="Q63"/>
    </sheetView>
  </sheetViews>
  <sheetFormatPr defaultRowHeight="15.5" x14ac:dyDescent="0.35"/>
  <cols>
    <col min="1" max="1" width="35" customWidth="1"/>
    <col min="2" max="4" width="13.08203125" customWidth="1"/>
    <col min="5" max="5" width="10.25" customWidth="1"/>
    <col min="7" max="7" width="12.4140625" customWidth="1"/>
    <col min="16" max="16" width="39.58203125" customWidth="1"/>
    <col min="17" max="21" width="15.6640625" customWidth="1"/>
    <col min="22" max="22" width="19" customWidth="1"/>
    <col min="23" max="23" width="16.9140625" customWidth="1"/>
    <col min="24" max="24" width="16.33203125" customWidth="1"/>
    <col min="25" max="26" width="17.1640625" customWidth="1"/>
    <col min="27" max="27" width="17.58203125" customWidth="1"/>
    <col min="28" max="29" width="12" customWidth="1"/>
  </cols>
  <sheetData>
    <row r="1" spans="1:30" s="8" customFormat="1" ht="35.5" x14ac:dyDescent="1.1499999999999999">
      <c r="A1" s="96" t="s">
        <v>175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ht="48" x14ac:dyDescent="0.8">
      <c r="A2" s="97" t="s">
        <v>176</v>
      </c>
      <c r="B2" s="8"/>
      <c r="C2" s="8"/>
      <c r="D2" s="8"/>
      <c r="E2" s="8"/>
      <c r="F2" s="8"/>
      <c r="G2" s="98" t="s">
        <v>177</v>
      </c>
      <c r="H2" s="99"/>
      <c r="I2" s="99"/>
      <c r="J2" s="8"/>
      <c r="K2" s="98" t="s">
        <v>178</v>
      </c>
      <c r="L2" s="99"/>
      <c r="M2" s="99"/>
      <c r="P2" s="100" t="s">
        <v>179</v>
      </c>
      <c r="Q2" s="101" t="s">
        <v>180</v>
      </c>
      <c r="R2" s="101" t="s">
        <v>102</v>
      </c>
      <c r="S2" s="101" t="s">
        <v>181</v>
      </c>
      <c r="T2" s="101" t="s">
        <v>106</v>
      </c>
      <c r="U2" s="101" t="s">
        <v>107</v>
      </c>
      <c r="V2" s="101" t="s">
        <v>109</v>
      </c>
      <c r="W2" s="101" t="s">
        <v>182</v>
      </c>
      <c r="X2" s="100" t="s">
        <v>183</v>
      </c>
      <c r="Y2" s="102" t="s">
        <v>110</v>
      </c>
      <c r="Z2" s="102" t="s">
        <v>111</v>
      </c>
      <c r="AA2" s="103" t="s">
        <v>184</v>
      </c>
      <c r="AB2" s="104" t="s">
        <v>112</v>
      </c>
      <c r="AC2" s="104" t="s">
        <v>185</v>
      </c>
    </row>
    <row r="3" spans="1:30" ht="24" x14ac:dyDescent="0.8">
      <c r="A3" s="105" t="s">
        <v>186</v>
      </c>
      <c r="B3" s="206" t="s">
        <v>187</v>
      </c>
      <c r="C3" s="207"/>
      <c r="D3" s="208"/>
      <c r="E3" s="106"/>
      <c r="F3" s="8"/>
      <c r="G3" s="8" t="s">
        <v>188</v>
      </c>
      <c r="H3" s="107">
        <v>40</v>
      </c>
      <c r="I3" s="8" t="s">
        <v>159</v>
      </c>
      <c r="J3" s="8"/>
      <c r="K3" s="8" t="s">
        <v>189</v>
      </c>
      <c r="L3" s="108">
        <v>100000</v>
      </c>
      <c r="M3" s="8" t="s">
        <v>145</v>
      </c>
      <c r="N3" s="109"/>
      <c r="O3" s="109"/>
      <c r="P3" s="110" t="s">
        <v>190</v>
      </c>
      <c r="Q3" s="111">
        <v>30000</v>
      </c>
      <c r="R3" s="112">
        <v>1</v>
      </c>
      <c r="S3" s="112">
        <f>Q3*R3</f>
        <v>30000</v>
      </c>
      <c r="T3" s="113">
        <v>15</v>
      </c>
      <c r="U3" s="111">
        <f>Q3*5%</f>
        <v>1500</v>
      </c>
      <c r="V3" s="114">
        <f>(S3-U3*R3)/T3</f>
        <v>1900</v>
      </c>
      <c r="W3" s="115">
        <v>1</v>
      </c>
      <c r="X3" s="116">
        <f>V3*W3</f>
        <v>1900</v>
      </c>
      <c r="Y3" s="114">
        <f t="shared" ref="Y3:Y19" si="0">(Q3+U3)/2</f>
        <v>15750</v>
      </c>
      <c r="Z3" s="114">
        <f>Y3*$Z$21%</f>
        <v>1023.75</v>
      </c>
      <c r="AA3" s="117">
        <f>Z3*W3</f>
        <v>1023.75</v>
      </c>
      <c r="AB3" s="118"/>
      <c r="AC3" s="119">
        <f>W3*AB3</f>
        <v>0</v>
      </c>
      <c r="AD3" s="120"/>
    </row>
    <row r="4" spans="1:30" ht="24" x14ac:dyDescent="0.8">
      <c r="A4" s="121" t="s">
        <v>179</v>
      </c>
      <c r="B4" s="122" t="s">
        <v>191</v>
      </c>
      <c r="C4" s="122" t="s">
        <v>192</v>
      </c>
      <c r="D4" s="122" t="s">
        <v>193</v>
      </c>
      <c r="E4" s="106" t="s">
        <v>101</v>
      </c>
      <c r="F4" s="8"/>
      <c r="G4" s="8" t="s">
        <v>194</v>
      </c>
      <c r="H4" s="107">
        <v>20</v>
      </c>
      <c r="I4" s="123" t="s">
        <v>195</v>
      </c>
      <c r="J4" s="8"/>
      <c r="K4" s="8" t="s">
        <v>196</v>
      </c>
      <c r="L4" s="124">
        <v>3000</v>
      </c>
      <c r="M4" s="8" t="s">
        <v>197</v>
      </c>
      <c r="N4" s="125"/>
      <c r="O4" s="126"/>
      <c r="P4" s="110" t="s">
        <v>198</v>
      </c>
      <c r="Q4" s="111">
        <v>250000</v>
      </c>
      <c r="R4" s="112">
        <v>1</v>
      </c>
      <c r="S4" s="112">
        <f t="shared" ref="S4:S19" si="1">Q4*R4</f>
        <v>250000</v>
      </c>
      <c r="T4" s="113">
        <v>10</v>
      </c>
      <c r="U4" s="111">
        <v>0</v>
      </c>
      <c r="V4" s="114">
        <f t="shared" ref="V4:V19" si="2">(S4-U4*R4)/T4</f>
        <v>25000</v>
      </c>
      <c r="W4" s="115">
        <v>1</v>
      </c>
      <c r="X4" s="116">
        <f t="shared" ref="X4:X19" si="3">V4*W4</f>
        <v>25000</v>
      </c>
      <c r="Y4" s="114">
        <f t="shared" si="0"/>
        <v>125000</v>
      </c>
      <c r="Z4" s="114">
        <f t="shared" ref="Z4:Z19" si="4">Y4*$Z$21%</f>
        <v>8125</v>
      </c>
      <c r="AA4" s="117">
        <f t="shared" ref="AA4:AA19" si="5">Z4*W4</f>
        <v>8125</v>
      </c>
      <c r="AB4" s="118"/>
      <c r="AC4" s="119">
        <f t="shared" ref="AC4:AC5" si="6">W4*AB4</f>
        <v>0</v>
      </c>
    </row>
    <row r="5" spans="1:30" ht="24" x14ac:dyDescent="0.8">
      <c r="A5" s="127" t="s">
        <v>117</v>
      </c>
      <c r="B5" s="128">
        <f>B6+B10+SUM(B13:B16)</f>
        <v>834650</v>
      </c>
      <c r="C5" s="128">
        <f>C6+C10+SUM(C13:C16)</f>
        <v>150625.98749999999</v>
      </c>
      <c r="D5" s="128">
        <f>B5+C5</f>
        <v>985275.98750000005</v>
      </c>
      <c r="E5" s="129">
        <f>+D5/$D$21%</f>
        <v>18.985422864407202</v>
      </c>
      <c r="F5" s="8"/>
      <c r="G5" s="130" t="s">
        <v>100</v>
      </c>
      <c r="H5" s="131">
        <f>H3*H4</f>
        <v>800</v>
      </c>
      <c r="I5" s="132" t="s">
        <v>199</v>
      </c>
      <c r="J5" s="123"/>
      <c r="K5" s="8"/>
      <c r="L5" s="133"/>
      <c r="M5" s="8"/>
      <c r="N5" s="125"/>
      <c r="O5" s="126"/>
      <c r="P5" s="110" t="s">
        <v>200</v>
      </c>
      <c r="Q5" s="111">
        <f>9000*40</f>
        <v>360000</v>
      </c>
      <c r="R5" s="112">
        <v>1</v>
      </c>
      <c r="S5" s="112">
        <f t="shared" si="1"/>
        <v>360000</v>
      </c>
      <c r="T5" s="113">
        <v>10</v>
      </c>
      <c r="U5" s="111">
        <v>2000</v>
      </c>
      <c r="V5" s="114">
        <f t="shared" si="2"/>
        <v>35800</v>
      </c>
      <c r="W5" s="115">
        <v>1</v>
      </c>
      <c r="X5" s="116">
        <f t="shared" si="3"/>
        <v>35800</v>
      </c>
      <c r="Y5" s="114">
        <f t="shared" si="0"/>
        <v>181000</v>
      </c>
      <c r="Z5" s="114">
        <f t="shared" si="4"/>
        <v>11765</v>
      </c>
      <c r="AA5" s="117">
        <f t="shared" si="5"/>
        <v>11765</v>
      </c>
      <c r="AB5" s="118">
        <v>8000</v>
      </c>
      <c r="AC5" s="119">
        <f t="shared" si="6"/>
        <v>8000</v>
      </c>
    </row>
    <row r="6" spans="1:30" ht="24" x14ac:dyDescent="0.8">
      <c r="A6" s="134" t="s">
        <v>201</v>
      </c>
      <c r="B6" s="135">
        <f>SUM(B7:B9)</f>
        <v>480000</v>
      </c>
      <c r="C6" s="135">
        <f t="shared" ref="C6:D6" si="7">SUM(C7:C9)</f>
        <v>0</v>
      </c>
      <c r="D6" s="135">
        <f t="shared" si="7"/>
        <v>480000</v>
      </c>
      <c r="E6" s="136">
        <f t="shared" ref="E6:E21" si="8">+D6/$D$21%</f>
        <v>9.2491881366544071</v>
      </c>
      <c r="F6" s="8"/>
      <c r="G6" s="8" t="s">
        <v>164</v>
      </c>
      <c r="H6" s="124">
        <v>60</v>
      </c>
      <c r="I6" s="123" t="s">
        <v>202</v>
      </c>
      <c r="J6" s="123"/>
      <c r="K6" s="98" t="s">
        <v>203</v>
      </c>
      <c r="L6" s="99"/>
      <c r="M6" s="99"/>
      <c r="N6" s="125"/>
      <c r="O6" s="126"/>
      <c r="P6" s="110" t="s">
        <v>204</v>
      </c>
      <c r="Q6" s="111">
        <v>200000</v>
      </c>
      <c r="R6" s="112">
        <v>1</v>
      </c>
      <c r="S6" s="112">
        <f t="shared" si="1"/>
        <v>200000</v>
      </c>
      <c r="T6" s="113">
        <v>10</v>
      </c>
      <c r="U6" s="111">
        <v>20000</v>
      </c>
      <c r="V6" s="114">
        <f t="shared" si="2"/>
        <v>18000</v>
      </c>
      <c r="W6" s="115">
        <v>1</v>
      </c>
      <c r="X6" s="116">
        <f t="shared" si="3"/>
        <v>18000</v>
      </c>
      <c r="Y6" s="114">
        <f t="shared" si="0"/>
        <v>110000</v>
      </c>
      <c r="Z6" s="114">
        <f t="shared" si="4"/>
        <v>7150</v>
      </c>
      <c r="AA6" s="117">
        <f t="shared" si="5"/>
        <v>7150</v>
      </c>
      <c r="AB6" s="118">
        <v>9000</v>
      </c>
      <c r="AC6" s="119">
        <f t="shared" ref="AC6:AC19" si="9">AB6*W6</f>
        <v>9000</v>
      </c>
    </row>
    <row r="7" spans="1:30" ht="24" x14ac:dyDescent="0.8">
      <c r="A7" s="137" t="s">
        <v>205</v>
      </c>
      <c r="B7" s="138">
        <f>L7*H3</f>
        <v>100000</v>
      </c>
      <c r="C7" s="138"/>
      <c r="D7" s="138">
        <f t="shared" ref="D7:D21" si="10">B7+C7</f>
        <v>100000</v>
      </c>
      <c r="E7" s="136">
        <f t="shared" si="8"/>
        <v>1.9269141951363349</v>
      </c>
      <c r="F7" s="8"/>
      <c r="G7" s="8" t="s">
        <v>206</v>
      </c>
      <c r="H7" s="124">
        <v>3.5</v>
      </c>
      <c r="I7" s="123" t="s">
        <v>207</v>
      </c>
      <c r="J7" s="133"/>
      <c r="K7" s="8" t="s">
        <v>122</v>
      </c>
      <c r="L7" s="124">
        <v>2500</v>
      </c>
      <c r="M7" s="8" t="s">
        <v>145</v>
      </c>
      <c r="N7" s="125"/>
      <c r="O7" s="126"/>
      <c r="P7" s="110" t="s">
        <v>208</v>
      </c>
      <c r="Q7" s="111">
        <v>8000</v>
      </c>
      <c r="R7" s="112">
        <v>1</v>
      </c>
      <c r="S7" s="112">
        <f t="shared" si="1"/>
        <v>8000</v>
      </c>
      <c r="T7" s="113">
        <v>5</v>
      </c>
      <c r="U7" s="111">
        <v>200</v>
      </c>
      <c r="V7" s="114">
        <f t="shared" si="2"/>
        <v>1560</v>
      </c>
      <c r="W7" s="115">
        <v>1</v>
      </c>
      <c r="X7" s="116">
        <f t="shared" si="3"/>
        <v>1560</v>
      </c>
      <c r="Y7" s="114">
        <f t="shared" si="0"/>
        <v>4100</v>
      </c>
      <c r="Z7" s="114">
        <f t="shared" si="4"/>
        <v>266.5</v>
      </c>
      <c r="AA7" s="117">
        <f t="shared" si="5"/>
        <v>266.5</v>
      </c>
      <c r="AB7" s="118">
        <v>100</v>
      </c>
      <c r="AC7" s="119">
        <f t="shared" si="9"/>
        <v>100</v>
      </c>
    </row>
    <row r="8" spans="1:30" ht="24" x14ac:dyDescent="0.8">
      <c r="A8" s="137" t="s">
        <v>209</v>
      </c>
      <c r="B8" s="138">
        <f>L8*H3</f>
        <v>140000</v>
      </c>
      <c r="C8" s="138"/>
      <c r="D8" s="138">
        <f t="shared" si="10"/>
        <v>140000</v>
      </c>
      <c r="E8" s="136">
        <f t="shared" si="8"/>
        <v>2.6976798731908689</v>
      </c>
      <c r="F8" s="8"/>
      <c r="G8" s="8" t="s">
        <v>100</v>
      </c>
      <c r="H8" s="108">
        <f>H5*H6*H7</f>
        <v>168000</v>
      </c>
      <c r="I8" s="123" t="s">
        <v>210</v>
      </c>
      <c r="J8" s="133"/>
      <c r="K8" s="133" t="s">
        <v>120</v>
      </c>
      <c r="L8" s="124">
        <v>3500</v>
      </c>
      <c r="M8" s="8" t="s">
        <v>145</v>
      </c>
      <c r="N8" s="125"/>
      <c r="O8" s="126"/>
      <c r="P8" s="110" t="s">
        <v>211</v>
      </c>
      <c r="Q8" s="111">
        <v>350000</v>
      </c>
      <c r="R8" s="112">
        <v>1</v>
      </c>
      <c r="S8" s="112">
        <f t="shared" si="1"/>
        <v>350000</v>
      </c>
      <c r="T8" s="113">
        <v>10</v>
      </c>
      <c r="U8" s="111">
        <v>5000</v>
      </c>
      <c r="V8" s="114">
        <f t="shared" si="2"/>
        <v>34500</v>
      </c>
      <c r="W8" s="115">
        <v>1</v>
      </c>
      <c r="X8" s="116">
        <f t="shared" si="3"/>
        <v>34500</v>
      </c>
      <c r="Y8" s="114">
        <f t="shared" si="0"/>
        <v>177500</v>
      </c>
      <c r="Z8" s="114">
        <f t="shared" si="4"/>
        <v>11537.5</v>
      </c>
      <c r="AA8" s="117">
        <f t="shared" si="5"/>
        <v>11537.5</v>
      </c>
      <c r="AB8" s="118">
        <v>2000</v>
      </c>
      <c r="AC8" s="119">
        <f t="shared" si="9"/>
        <v>2000</v>
      </c>
    </row>
    <row r="9" spans="1:30" ht="24" x14ac:dyDescent="0.8">
      <c r="A9" s="137" t="s">
        <v>212</v>
      </c>
      <c r="B9" s="138">
        <f>L9*H5</f>
        <v>240000</v>
      </c>
      <c r="C9" s="138"/>
      <c r="D9" s="138">
        <f t="shared" si="10"/>
        <v>240000</v>
      </c>
      <c r="E9" s="136">
        <f t="shared" si="8"/>
        <v>4.6245940683272035</v>
      </c>
      <c r="F9" s="8"/>
      <c r="G9" s="8"/>
      <c r="H9" s="108"/>
      <c r="I9" s="123"/>
      <c r="J9" s="133"/>
      <c r="K9" s="133" t="s">
        <v>213</v>
      </c>
      <c r="L9" s="133">
        <v>300</v>
      </c>
      <c r="M9" s="8" t="s">
        <v>214</v>
      </c>
      <c r="N9" s="125"/>
      <c r="O9" s="126"/>
      <c r="P9" s="110" t="s">
        <v>215</v>
      </c>
      <c r="Q9" s="111">
        <v>7000</v>
      </c>
      <c r="R9" s="112">
        <v>1</v>
      </c>
      <c r="S9" s="112">
        <f t="shared" si="1"/>
        <v>7000</v>
      </c>
      <c r="T9" s="113">
        <v>5</v>
      </c>
      <c r="U9" s="111">
        <v>500</v>
      </c>
      <c r="V9" s="114">
        <f t="shared" si="2"/>
        <v>1300</v>
      </c>
      <c r="W9" s="115">
        <v>1</v>
      </c>
      <c r="X9" s="116">
        <f t="shared" si="3"/>
        <v>1300</v>
      </c>
      <c r="Y9" s="114">
        <f t="shared" si="0"/>
        <v>3750</v>
      </c>
      <c r="Z9" s="114">
        <f t="shared" si="4"/>
        <v>243.75</v>
      </c>
      <c r="AA9" s="117">
        <f t="shared" si="5"/>
        <v>243.75</v>
      </c>
      <c r="AB9" s="118">
        <v>50</v>
      </c>
      <c r="AC9" s="119">
        <f t="shared" si="9"/>
        <v>50</v>
      </c>
    </row>
    <row r="10" spans="1:30" ht="24" x14ac:dyDescent="0.8">
      <c r="A10" s="134" t="s">
        <v>216</v>
      </c>
      <c r="B10" s="139">
        <f>SUM(B11:B12)</f>
        <v>228000</v>
      </c>
      <c r="C10" s="139">
        <f t="shared" ref="C10:D10" si="11">SUM(C11:C12)</f>
        <v>150000</v>
      </c>
      <c r="D10" s="139">
        <f t="shared" si="11"/>
        <v>378000</v>
      </c>
      <c r="E10" s="136">
        <f t="shared" si="8"/>
        <v>7.2837356576153462</v>
      </c>
      <c r="F10" s="8"/>
      <c r="G10" s="8"/>
      <c r="H10" s="108"/>
      <c r="I10" s="123"/>
      <c r="J10" s="133"/>
      <c r="K10" s="8" t="s">
        <v>298</v>
      </c>
      <c r="L10" s="133">
        <v>80</v>
      </c>
      <c r="M10" s="8" t="s">
        <v>214</v>
      </c>
      <c r="N10" s="125"/>
      <c r="O10" s="126"/>
      <c r="P10" s="110" t="s">
        <v>217</v>
      </c>
      <c r="Q10" s="111">
        <v>150000</v>
      </c>
      <c r="R10" s="112">
        <v>1</v>
      </c>
      <c r="S10" s="112">
        <f t="shared" si="1"/>
        <v>150000</v>
      </c>
      <c r="T10" s="113">
        <v>10</v>
      </c>
      <c r="U10" s="111">
        <v>30000</v>
      </c>
      <c r="V10" s="114">
        <f t="shared" si="2"/>
        <v>12000</v>
      </c>
      <c r="W10" s="115">
        <v>1</v>
      </c>
      <c r="X10" s="116">
        <f t="shared" si="3"/>
        <v>12000</v>
      </c>
      <c r="Y10" s="114">
        <f t="shared" si="0"/>
        <v>90000</v>
      </c>
      <c r="Z10" s="114">
        <f t="shared" si="4"/>
        <v>5850</v>
      </c>
      <c r="AA10" s="117">
        <f t="shared" si="5"/>
        <v>5850</v>
      </c>
      <c r="AB10" s="118">
        <v>500</v>
      </c>
      <c r="AC10" s="119">
        <f t="shared" si="9"/>
        <v>500</v>
      </c>
    </row>
    <row r="11" spans="1:30" ht="24" x14ac:dyDescent="0.8">
      <c r="A11" s="137" t="s">
        <v>218</v>
      </c>
      <c r="B11" s="138"/>
      <c r="C11" s="138">
        <f>H29*H30</f>
        <v>150000</v>
      </c>
      <c r="D11" s="138">
        <f t="shared" si="10"/>
        <v>150000</v>
      </c>
      <c r="E11" s="136">
        <f t="shared" si="8"/>
        <v>2.8903712927045024</v>
      </c>
      <c r="F11" s="8"/>
      <c r="G11" s="140" t="s">
        <v>219</v>
      </c>
      <c r="H11" s="141"/>
      <c r="I11" s="141"/>
      <c r="J11" s="133"/>
      <c r="K11" s="98" t="s">
        <v>220</v>
      </c>
      <c r="L11" s="141"/>
      <c r="M11" s="99"/>
      <c r="N11" s="125"/>
      <c r="O11" s="126"/>
      <c r="P11" s="110" t="s">
        <v>221</v>
      </c>
      <c r="Q11" s="111">
        <v>900000</v>
      </c>
      <c r="R11" s="112">
        <v>1</v>
      </c>
      <c r="S11" s="112">
        <f t="shared" si="1"/>
        <v>900000</v>
      </c>
      <c r="T11" s="113">
        <v>15</v>
      </c>
      <c r="U11" s="111">
        <v>70000</v>
      </c>
      <c r="V11" s="114">
        <f t="shared" si="2"/>
        <v>55333.333333333336</v>
      </c>
      <c r="W11" s="115">
        <v>0.2</v>
      </c>
      <c r="X11" s="116">
        <f t="shared" si="3"/>
        <v>11066.666666666668</v>
      </c>
      <c r="Y11" s="114">
        <f t="shared" si="0"/>
        <v>485000</v>
      </c>
      <c r="Z11" s="114">
        <f t="shared" si="4"/>
        <v>31525</v>
      </c>
      <c r="AA11" s="117">
        <f t="shared" si="5"/>
        <v>6305</v>
      </c>
      <c r="AB11" s="118">
        <v>30000</v>
      </c>
      <c r="AC11" s="119">
        <f t="shared" si="9"/>
        <v>6000</v>
      </c>
    </row>
    <row r="12" spans="1:30" ht="24" x14ac:dyDescent="0.8">
      <c r="A12" s="137" t="s">
        <v>222</v>
      </c>
      <c r="B12" s="138">
        <f>H23*H24+H19*12</f>
        <v>228000</v>
      </c>
      <c r="C12" s="138"/>
      <c r="D12" s="138">
        <f t="shared" si="10"/>
        <v>228000</v>
      </c>
      <c r="E12" s="136">
        <f t="shared" si="8"/>
        <v>4.3933643649108438</v>
      </c>
      <c r="F12" s="8"/>
      <c r="G12" s="133" t="s">
        <v>223</v>
      </c>
      <c r="H12" s="124"/>
      <c r="I12" s="123" t="s">
        <v>168</v>
      </c>
      <c r="J12" s="8"/>
      <c r="K12" s="8" t="s">
        <v>224</v>
      </c>
      <c r="L12" s="124">
        <v>1000</v>
      </c>
      <c r="M12" s="8" t="s">
        <v>145</v>
      </c>
      <c r="N12" s="125"/>
      <c r="O12" s="126"/>
      <c r="P12" s="110" t="s">
        <v>225</v>
      </c>
      <c r="Q12" s="111">
        <v>50000</v>
      </c>
      <c r="R12" s="112">
        <v>1</v>
      </c>
      <c r="S12" s="112">
        <f t="shared" si="1"/>
        <v>50000</v>
      </c>
      <c r="T12" s="113">
        <v>10</v>
      </c>
      <c r="U12" s="111">
        <v>10000</v>
      </c>
      <c r="V12" s="114">
        <f t="shared" si="2"/>
        <v>4000</v>
      </c>
      <c r="W12" s="115">
        <v>0.5</v>
      </c>
      <c r="X12" s="116">
        <f t="shared" si="3"/>
        <v>2000</v>
      </c>
      <c r="Y12" s="114">
        <f t="shared" si="0"/>
        <v>30000</v>
      </c>
      <c r="Z12" s="114">
        <f t="shared" si="4"/>
        <v>1950</v>
      </c>
      <c r="AA12" s="117">
        <f t="shared" si="5"/>
        <v>975</v>
      </c>
      <c r="AB12" s="118">
        <v>1000</v>
      </c>
      <c r="AC12" s="119">
        <f t="shared" si="9"/>
        <v>500</v>
      </c>
    </row>
    <row r="13" spans="1:30" ht="24" x14ac:dyDescent="0.8">
      <c r="A13" s="137" t="s">
        <v>226</v>
      </c>
      <c r="B13" s="138">
        <f>L12*H3</f>
        <v>40000</v>
      </c>
      <c r="C13" s="138"/>
      <c r="D13" s="138">
        <f t="shared" si="10"/>
        <v>40000</v>
      </c>
      <c r="E13" s="136">
        <f t="shared" si="8"/>
        <v>0.770765678054534</v>
      </c>
      <c r="F13" s="8"/>
      <c r="G13" s="133" t="s">
        <v>227</v>
      </c>
      <c r="H13" s="124"/>
      <c r="I13" s="123" t="s">
        <v>168</v>
      </c>
      <c r="J13" s="8"/>
      <c r="K13" s="8" t="s">
        <v>228</v>
      </c>
      <c r="L13" s="124">
        <v>60000</v>
      </c>
      <c r="M13" s="8" t="s">
        <v>229</v>
      </c>
      <c r="N13" s="125"/>
      <c r="O13" s="126"/>
      <c r="P13" s="110" t="s">
        <v>230</v>
      </c>
      <c r="Q13" s="111">
        <v>6190</v>
      </c>
      <c r="R13" s="112">
        <v>2</v>
      </c>
      <c r="S13" s="112">
        <f t="shared" si="1"/>
        <v>12380</v>
      </c>
      <c r="T13" s="113">
        <v>5</v>
      </c>
      <c r="U13" s="111">
        <v>500</v>
      </c>
      <c r="V13" s="114">
        <f t="shared" si="2"/>
        <v>2276</v>
      </c>
      <c r="W13" s="115">
        <v>1</v>
      </c>
      <c r="X13" s="116">
        <f t="shared" si="3"/>
        <v>2276</v>
      </c>
      <c r="Y13" s="114">
        <f t="shared" si="0"/>
        <v>3345</v>
      </c>
      <c r="Z13" s="114">
        <f t="shared" si="4"/>
        <v>217.42500000000001</v>
      </c>
      <c r="AA13" s="117">
        <f t="shared" si="5"/>
        <v>217.42500000000001</v>
      </c>
      <c r="AB13" s="118">
        <v>500</v>
      </c>
      <c r="AC13" s="119">
        <f t="shared" si="9"/>
        <v>500</v>
      </c>
    </row>
    <row r="14" spans="1:30" ht="24" x14ac:dyDescent="0.8">
      <c r="A14" s="137" t="s">
        <v>231</v>
      </c>
      <c r="B14" s="138">
        <f>L13</f>
        <v>60000</v>
      </c>
      <c r="C14" s="138"/>
      <c r="D14" s="138">
        <f t="shared" si="10"/>
        <v>60000</v>
      </c>
      <c r="E14" s="136">
        <f t="shared" si="8"/>
        <v>1.1561485170818009</v>
      </c>
      <c r="F14" s="8"/>
      <c r="G14" s="133" t="s">
        <v>232</v>
      </c>
      <c r="H14" s="124"/>
      <c r="I14" s="123" t="s">
        <v>168</v>
      </c>
      <c r="J14" s="8"/>
      <c r="K14" s="8"/>
      <c r="L14" s="124"/>
      <c r="M14" s="8"/>
      <c r="N14" s="125"/>
      <c r="O14" s="126"/>
      <c r="P14" s="110" t="s">
        <v>233</v>
      </c>
      <c r="Q14" s="111">
        <v>550</v>
      </c>
      <c r="R14" s="112">
        <v>5</v>
      </c>
      <c r="S14" s="112">
        <f t="shared" si="1"/>
        <v>2750</v>
      </c>
      <c r="T14" s="113">
        <v>5</v>
      </c>
      <c r="U14" s="111">
        <v>0</v>
      </c>
      <c r="V14" s="114">
        <f t="shared" si="2"/>
        <v>550</v>
      </c>
      <c r="W14" s="115">
        <v>1</v>
      </c>
      <c r="X14" s="116">
        <f t="shared" si="3"/>
        <v>550</v>
      </c>
      <c r="Y14" s="114">
        <f t="shared" si="0"/>
        <v>275</v>
      </c>
      <c r="Z14" s="114">
        <f t="shared" si="4"/>
        <v>17.875</v>
      </c>
      <c r="AA14" s="117">
        <f t="shared" si="5"/>
        <v>17.875</v>
      </c>
      <c r="AB14" s="118">
        <v>0</v>
      </c>
      <c r="AC14" s="119">
        <f t="shared" si="9"/>
        <v>0</v>
      </c>
    </row>
    <row r="15" spans="1:30" ht="24" x14ac:dyDescent="0.8">
      <c r="A15" s="137" t="s">
        <v>234</v>
      </c>
      <c r="B15" s="138">
        <f>[1]ค่าเสื่อม!N23</f>
        <v>26650</v>
      </c>
      <c r="C15" s="138"/>
      <c r="D15" s="138">
        <f t="shared" si="10"/>
        <v>26650</v>
      </c>
      <c r="E15" s="136">
        <f t="shared" si="8"/>
        <v>0.51352263300383327</v>
      </c>
      <c r="F15" s="8"/>
      <c r="G15" s="133" t="s">
        <v>235</v>
      </c>
      <c r="H15" s="124"/>
      <c r="I15" s="123" t="s">
        <v>168</v>
      </c>
      <c r="J15" s="8"/>
      <c r="K15" s="8"/>
      <c r="L15" s="8"/>
      <c r="M15" s="8"/>
      <c r="N15" s="125"/>
      <c r="O15" s="126"/>
      <c r="P15" s="110" t="s">
        <v>236</v>
      </c>
      <c r="Q15" s="111">
        <v>7000</v>
      </c>
      <c r="R15" s="112">
        <v>1</v>
      </c>
      <c r="S15" s="112">
        <f t="shared" si="1"/>
        <v>7000</v>
      </c>
      <c r="T15" s="113">
        <v>10</v>
      </c>
      <c r="U15" s="111">
        <v>2000</v>
      </c>
      <c r="V15" s="114">
        <f t="shared" si="2"/>
        <v>500</v>
      </c>
      <c r="W15" s="115">
        <v>1</v>
      </c>
      <c r="X15" s="116">
        <f t="shared" si="3"/>
        <v>500</v>
      </c>
      <c r="Y15" s="114">
        <f t="shared" si="0"/>
        <v>4500</v>
      </c>
      <c r="Z15" s="114">
        <f t="shared" si="4"/>
        <v>292.5</v>
      </c>
      <c r="AA15" s="117">
        <f t="shared" si="5"/>
        <v>292.5</v>
      </c>
      <c r="AB15" s="118">
        <v>0</v>
      </c>
      <c r="AC15" s="119">
        <f t="shared" si="9"/>
        <v>0</v>
      </c>
    </row>
    <row r="16" spans="1:30" ht="24" x14ac:dyDescent="0.8">
      <c r="A16" s="137" t="s">
        <v>237</v>
      </c>
      <c r="B16" s="138"/>
      <c r="C16" s="138">
        <f>B5*L19</f>
        <v>625.98750000000007</v>
      </c>
      <c r="D16" s="138">
        <f t="shared" si="10"/>
        <v>625.98750000000007</v>
      </c>
      <c r="E16" s="136">
        <f t="shared" si="8"/>
        <v>1.2062241997279066E-2</v>
      </c>
      <c r="F16" s="8"/>
      <c r="G16" s="131" t="s">
        <v>238</v>
      </c>
      <c r="H16" s="142">
        <v>125</v>
      </c>
      <c r="I16" s="132" t="s">
        <v>168</v>
      </c>
      <c r="J16" s="8"/>
      <c r="K16" s="8"/>
      <c r="L16" s="8"/>
      <c r="M16" s="8"/>
      <c r="N16" s="125"/>
      <c r="O16" s="126"/>
      <c r="P16" s="110" t="s">
        <v>239</v>
      </c>
      <c r="Q16" s="111">
        <v>300</v>
      </c>
      <c r="R16" s="112">
        <v>3</v>
      </c>
      <c r="S16" s="112">
        <f t="shared" si="1"/>
        <v>900</v>
      </c>
      <c r="T16" s="113">
        <v>5</v>
      </c>
      <c r="U16" s="111">
        <v>0</v>
      </c>
      <c r="V16" s="114">
        <f t="shared" si="2"/>
        <v>180</v>
      </c>
      <c r="W16" s="115">
        <v>1</v>
      </c>
      <c r="X16" s="116">
        <f t="shared" si="3"/>
        <v>180</v>
      </c>
      <c r="Y16" s="114">
        <f t="shared" si="0"/>
        <v>150</v>
      </c>
      <c r="Z16" s="114">
        <f t="shared" si="4"/>
        <v>9.75</v>
      </c>
      <c r="AA16" s="117">
        <f t="shared" si="5"/>
        <v>9.75</v>
      </c>
      <c r="AB16" s="118">
        <v>0</v>
      </c>
      <c r="AC16" s="119">
        <f t="shared" si="9"/>
        <v>0</v>
      </c>
    </row>
    <row r="17" spans="1:29" ht="24" x14ac:dyDescent="0.8">
      <c r="A17" s="127" t="s">
        <v>149</v>
      </c>
      <c r="B17" s="128">
        <f>SUM(B18:B20)</f>
        <v>3000</v>
      </c>
      <c r="C17" s="128">
        <f>SUM(C18:C20)</f>
        <v>4201368.6916666664</v>
      </c>
      <c r="D17" s="128">
        <f>SUM(D18:D20)</f>
        <v>4204368.6916666664</v>
      </c>
      <c r="E17" s="129">
        <f t="shared" si="8"/>
        <v>81.014577135592802</v>
      </c>
      <c r="F17" s="8"/>
      <c r="G17" s="8"/>
      <c r="H17" s="8"/>
      <c r="I17" s="8"/>
      <c r="J17" s="8"/>
      <c r="K17" s="8"/>
      <c r="L17" s="8"/>
      <c r="M17" s="8"/>
      <c r="N17" s="125"/>
      <c r="O17" s="126"/>
      <c r="P17" s="110" t="s">
        <v>240</v>
      </c>
      <c r="Q17" s="111">
        <v>180</v>
      </c>
      <c r="R17" s="112">
        <v>2</v>
      </c>
      <c r="S17" s="112">
        <f t="shared" si="1"/>
        <v>360</v>
      </c>
      <c r="T17" s="113">
        <v>2</v>
      </c>
      <c r="U17" s="111">
        <v>0</v>
      </c>
      <c r="V17" s="114">
        <f t="shared" si="2"/>
        <v>180</v>
      </c>
      <c r="W17" s="115">
        <v>1</v>
      </c>
      <c r="X17" s="116">
        <f t="shared" si="3"/>
        <v>180</v>
      </c>
      <c r="Y17" s="114">
        <f t="shared" si="0"/>
        <v>90</v>
      </c>
      <c r="Z17" s="114">
        <f t="shared" si="4"/>
        <v>5.8500000000000005</v>
      </c>
      <c r="AA17" s="117">
        <f t="shared" si="5"/>
        <v>5.8500000000000005</v>
      </c>
      <c r="AB17" s="118">
        <v>0</v>
      </c>
      <c r="AC17" s="119">
        <f t="shared" si="9"/>
        <v>0</v>
      </c>
    </row>
    <row r="18" spans="1:29" ht="24" x14ac:dyDescent="0.8">
      <c r="A18" s="137" t="s">
        <v>241</v>
      </c>
      <c r="B18" s="138">
        <v>3000</v>
      </c>
      <c r="C18" s="138">
        <f>L3*H3</f>
        <v>4000000</v>
      </c>
      <c r="D18" s="138">
        <f>B18+C18</f>
        <v>4003000</v>
      </c>
      <c r="E18" s="136">
        <f t="shared" si="8"/>
        <v>77.134375231307487</v>
      </c>
      <c r="F18" s="8"/>
      <c r="G18" s="140" t="s">
        <v>242</v>
      </c>
      <c r="H18" s="99"/>
      <c r="I18" s="99"/>
      <c r="J18" s="8"/>
      <c r="K18" s="98" t="s">
        <v>243</v>
      </c>
      <c r="L18" s="141"/>
      <c r="M18" s="99"/>
      <c r="N18" s="125"/>
      <c r="O18" s="126"/>
      <c r="P18" s="110" t="s">
        <v>244</v>
      </c>
      <c r="Q18" s="111">
        <v>250</v>
      </c>
      <c r="R18" s="112">
        <v>3</v>
      </c>
      <c r="S18" s="112">
        <f t="shared" si="1"/>
        <v>750</v>
      </c>
      <c r="T18" s="113">
        <v>5</v>
      </c>
      <c r="U18" s="111">
        <v>0</v>
      </c>
      <c r="V18" s="114">
        <f t="shared" si="2"/>
        <v>150</v>
      </c>
      <c r="W18" s="115">
        <v>1</v>
      </c>
      <c r="X18" s="116">
        <f t="shared" si="3"/>
        <v>150</v>
      </c>
      <c r="Y18" s="114">
        <f t="shared" si="0"/>
        <v>125</v>
      </c>
      <c r="Z18" s="114">
        <f t="shared" si="4"/>
        <v>8.125</v>
      </c>
      <c r="AA18" s="117">
        <f t="shared" si="5"/>
        <v>8.125</v>
      </c>
      <c r="AB18" s="118">
        <v>0</v>
      </c>
      <c r="AC18" s="119">
        <f t="shared" si="9"/>
        <v>0</v>
      </c>
    </row>
    <row r="19" spans="1:29" ht="24" x14ac:dyDescent="0.8">
      <c r="A19" s="137" t="s">
        <v>152</v>
      </c>
      <c r="B19" s="138">
        <v>0</v>
      </c>
      <c r="C19" s="138">
        <f>+X20</f>
        <v>147562.66666666666</v>
      </c>
      <c r="D19" s="138">
        <f t="shared" si="10"/>
        <v>147562.66666666666</v>
      </c>
      <c r="E19" s="136">
        <f t="shared" si="8"/>
        <v>2.8434059707217125</v>
      </c>
      <c r="F19" s="8"/>
      <c r="G19" s="143" t="s">
        <v>245</v>
      </c>
      <c r="H19" s="108">
        <v>18000</v>
      </c>
      <c r="I19" s="133" t="s">
        <v>246</v>
      </c>
      <c r="J19" s="123"/>
      <c r="K19" s="133" t="s">
        <v>247</v>
      </c>
      <c r="L19" s="144">
        <v>7.5000000000000002E-4</v>
      </c>
      <c r="M19" s="8" t="s">
        <v>248</v>
      </c>
      <c r="N19" s="125"/>
      <c r="O19" s="126"/>
      <c r="P19" s="110" t="s">
        <v>249</v>
      </c>
      <c r="Q19" s="111">
        <v>400</v>
      </c>
      <c r="R19" s="112">
        <v>3</v>
      </c>
      <c r="S19" s="112">
        <f t="shared" si="1"/>
        <v>1200</v>
      </c>
      <c r="T19" s="113">
        <v>2</v>
      </c>
      <c r="U19" s="111">
        <v>0</v>
      </c>
      <c r="V19" s="114">
        <f t="shared" si="2"/>
        <v>600</v>
      </c>
      <c r="W19" s="115">
        <v>1</v>
      </c>
      <c r="X19" s="116">
        <f t="shared" si="3"/>
        <v>600</v>
      </c>
      <c r="Y19" s="114">
        <f t="shared" si="0"/>
        <v>200</v>
      </c>
      <c r="Z19" s="114">
        <f t="shared" si="4"/>
        <v>13</v>
      </c>
      <c r="AA19" s="117">
        <f t="shared" si="5"/>
        <v>13</v>
      </c>
      <c r="AB19" s="118">
        <v>0</v>
      </c>
      <c r="AC19" s="119">
        <f t="shared" si="9"/>
        <v>0</v>
      </c>
    </row>
    <row r="20" spans="1:29" ht="24" x14ac:dyDescent="0.8">
      <c r="A20" s="137" t="s">
        <v>153</v>
      </c>
      <c r="B20" s="138">
        <v>0</v>
      </c>
      <c r="C20" s="138">
        <f>+AA20</f>
        <v>53806.025000000001</v>
      </c>
      <c r="D20" s="138">
        <f t="shared" si="10"/>
        <v>53806.025000000001</v>
      </c>
      <c r="E20" s="136">
        <f t="shared" si="8"/>
        <v>1.0367959335636052</v>
      </c>
      <c r="F20" s="8"/>
      <c r="G20" s="133" t="s">
        <v>250</v>
      </c>
      <c r="H20" s="145">
        <v>6.5000000000000002E-2</v>
      </c>
      <c r="I20" s="133" t="s">
        <v>248</v>
      </c>
      <c r="J20" s="8"/>
      <c r="K20" s="133" t="s">
        <v>251</v>
      </c>
      <c r="L20" s="146">
        <v>6.5000000000000002E-2</v>
      </c>
      <c r="M20" s="8" t="s">
        <v>248</v>
      </c>
      <c r="N20" s="125"/>
      <c r="O20" s="126"/>
      <c r="P20" s="110" t="s">
        <v>252</v>
      </c>
      <c r="Q20" s="147" t="s">
        <v>179</v>
      </c>
      <c r="R20" s="147"/>
      <c r="S20" s="147"/>
      <c r="T20" s="147" t="s">
        <v>179</v>
      </c>
      <c r="U20" s="147" t="s">
        <v>179</v>
      </c>
      <c r="V20" s="147" t="s">
        <v>179</v>
      </c>
      <c r="W20" s="148" t="s">
        <v>179</v>
      </c>
      <c r="X20" s="149">
        <f>SUM(X3:X19)</f>
        <v>147562.66666666666</v>
      </c>
      <c r="Y20" s="147" t="s">
        <v>179</v>
      </c>
      <c r="Z20" s="150">
        <f>SUM(Z3:Z19)</f>
        <v>80001.025000000009</v>
      </c>
      <c r="AA20" s="149">
        <f>SUM(AA3:AA19)</f>
        <v>53806.025000000001</v>
      </c>
      <c r="AB20" s="151"/>
      <c r="AC20" s="149">
        <f>SUM(AC3:AC19)</f>
        <v>26650</v>
      </c>
    </row>
    <row r="21" spans="1:29" ht="24" x14ac:dyDescent="0.8">
      <c r="A21" s="152" t="s">
        <v>253</v>
      </c>
      <c r="B21" s="153">
        <f>B5+B17</f>
        <v>837650</v>
      </c>
      <c r="C21" s="153">
        <f>C5+C17</f>
        <v>4351994.6791666662</v>
      </c>
      <c r="D21" s="153">
        <f t="shared" si="10"/>
        <v>5189644.6791666662</v>
      </c>
      <c r="E21" s="129">
        <f t="shared" si="8"/>
        <v>100</v>
      </c>
      <c r="F21" s="8"/>
      <c r="G21" s="133" t="s">
        <v>254</v>
      </c>
      <c r="H21" s="145">
        <v>0.03</v>
      </c>
      <c r="I21" s="133" t="s">
        <v>248</v>
      </c>
      <c r="J21" s="8"/>
      <c r="K21" s="8"/>
      <c r="L21" s="133"/>
      <c r="M21" s="8"/>
      <c r="N21" s="154"/>
      <c r="O21" s="154"/>
      <c r="P21" s="155"/>
      <c r="Q21" s="155"/>
      <c r="R21" s="155"/>
      <c r="S21" s="155"/>
      <c r="T21" s="155"/>
      <c r="U21" s="155"/>
      <c r="V21" s="155"/>
      <c r="W21" s="156"/>
      <c r="X21" s="156"/>
      <c r="Y21" s="155" t="s">
        <v>243</v>
      </c>
      <c r="Z21" s="178">
        <v>6.5</v>
      </c>
      <c r="AA21" s="155" t="s">
        <v>255</v>
      </c>
      <c r="AB21" s="156"/>
      <c r="AC21" s="156"/>
    </row>
    <row r="22" spans="1:29" ht="24" x14ac:dyDescent="0.8">
      <c r="A22" s="134" t="s">
        <v>256</v>
      </c>
      <c r="B22" s="135">
        <f>B21/$H$5</f>
        <v>1047.0625</v>
      </c>
      <c r="C22" s="135">
        <f>C21/$H$5</f>
        <v>5439.9933489583327</v>
      </c>
      <c r="D22" s="135">
        <f>D21/$H$5</f>
        <v>6487.0558489583327</v>
      </c>
      <c r="E22" s="157"/>
      <c r="F22" s="8"/>
      <c r="G22" s="10" t="s">
        <v>136</v>
      </c>
      <c r="H22" s="8"/>
      <c r="I22" s="8"/>
      <c r="J22" s="8"/>
      <c r="K22" s="8"/>
      <c r="L22" s="133"/>
      <c r="M22" s="8"/>
    </row>
    <row r="23" spans="1:29" ht="24" x14ac:dyDescent="0.8">
      <c r="A23" s="134" t="s">
        <v>257</v>
      </c>
      <c r="B23" s="135">
        <f>B21/$H$8</f>
        <v>4.9860119047619049</v>
      </c>
      <c r="C23" s="135">
        <f>C21/$H$8</f>
        <v>25.904730233134917</v>
      </c>
      <c r="D23" s="135">
        <f>D21/$H$8</f>
        <v>30.890742137896822</v>
      </c>
      <c r="E23" s="157"/>
      <c r="F23" s="8"/>
      <c r="G23" s="8" t="s">
        <v>258</v>
      </c>
      <c r="H23" s="124">
        <v>30</v>
      </c>
      <c r="I23" s="8" t="s">
        <v>44</v>
      </c>
      <c r="J23" s="8"/>
      <c r="K23" s="8" t="s">
        <v>301</v>
      </c>
      <c r="L23" s="177">
        <v>5000</v>
      </c>
      <c r="M23" s="8" t="s">
        <v>145</v>
      </c>
      <c r="N23" s="8"/>
      <c r="O23" s="8"/>
    </row>
    <row r="24" spans="1:29" ht="24" x14ac:dyDescent="0.8">
      <c r="A24" s="152" t="s">
        <v>259</v>
      </c>
      <c r="B24" s="153"/>
      <c r="C24" s="153"/>
      <c r="D24" s="153">
        <f>H8*H16</f>
        <v>21000000</v>
      </c>
      <c r="E24" s="158" t="s">
        <v>145</v>
      </c>
      <c r="F24" s="8"/>
      <c r="G24" s="8" t="s">
        <v>260</v>
      </c>
      <c r="H24" s="124">
        <v>400</v>
      </c>
      <c r="I24" s="8" t="s">
        <v>54</v>
      </c>
      <c r="J24" s="8"/>
      <c r="K24" s="8"/>
      <c r="L24" s="133"/>
      <c r="M24" s="8"/>
      <c r="N24" s="159"/>
      <c r="O24" s="8"/>
      <c r="P24" t="s">
        <v>295</v>
      </c>
      <c r="S24" t="s">
        <v>197</v>
      </c>
    </row>
    <row r="25" spans="1:29" ht="24" customHeight="1" x14ac:dyDescent="0.8">
      <c r="A25" s="137" t="s">
        <v>261</v>
      </c>
      <c r="B25" s="160" t="s">
        <v>179</v>
      </c>
      <c r="C25" s="160" t="s">
        <v>179</v>
      </c>
      <c r="D25" s="161">
        <f>D24-B21</f>
        <v>20162350</v>
      </c>
      <c r="E25" s="162">
        <f>+D25/H3</f>
        <v>504058.75</v>
      </c>
      <c r="F25" s="8"/>
      <c r="G25" s="8" t="s">
        <v>262</v>
      </c>
      <c r="H25" s="124"/>
      <c r="I25" s="8" t="s">
        <v>229</v>
      </c>
      <c r="J25" s="8"/>
      <c r="K25" s="8"/>
      <c r="L25" s="133"/>
      <c r="M25" s="8"/>
      <c r="N25" s="133"/>
      <c r="O25" s="8"/>
      <c r="P25" s="105" t="s">
        <v>186</v>
      </c>
      <c r="Q25" s="206" t="s">
        <v>296</v>
      </c>
      <c r="R25" s="207"/>
      <c r="S25" s="208"/>
      <c r="T25" s="206" t="s">
        <v>304</v>
      </c>
      <c r="U25" s="207"/>
      <c r="V25" s="208"/>
      <c r="W25" s="206" t="s">
        <v>306</v>
      </c>
      <c r="X25" s="207"/>
      <c r="Y25" s="208"/>
    </row>
    <row r="26" spans="1:29" ht="24" x14ac:dyDescent="0.8">
      <c r="A26" s="137" t="s">
        <v>263</v>
      </c>
      <c r="B26" s="160" t="s">
        <v>179</v>
      </c>
      <c r="C26" s="160" t="s">
        <v>179</v>
      </c>
      <c r="D26" s="161">
        <f>D24-B5</f>
        <v>20165350</v>
      </c>
      <c r="E26" s="162">
        <f>+D26/H3</f>
        <v>504133.75</v>
      </c>
      <c r="F26" s="8"/>
      <c r="G26" s="10" t="s">
        <v>137</v>
      </c>
      <c r="H26" s="8"/>
      <c r="I26" s="8"/>
      <c r="J26" s="8"/>
      <c r="K26" s="8"/>
      <c r="L26" s="8"/>
      <c r="M26" s="8"/>
      <c r="N26" s="133"/>
      <c r="O26" s="8"/>
      <c r="P26" s="121" t="s">
        <v>179</v>
      </c>
      <c r="Q26" s="122" t="s">
        <v>191</v>
      </c>
      <c r="R26" s="122" t="s">
        <v>192</v>
      </c>
      <c r="S26" s="122" t="s">
        <v>193</v>
      </c>
      <c r="T26" s="122" t="s">
        <v>191</v>
      </c>
      <c r="U26" s="122" t="s">
        <v>192</v>
      </c>
      <c r="V26" s="122" t="s">
        <v>193</v>
      </c>
      <c r="W26" s="122" t="s">
        <v>191</v>
      </c>
      <c r="X26" s="122" t="s">
        <v>192</v>
      </c>
      <c r="Y26" s="122" t="s">
        <v>193</v>
      </c>
    </row>
    <row r="27" spans="1:29" ht="24" x14ac:dyDescent="0.8">
      <c r="A27" s="137" t="s">
        <v>264</v>
      </c>
      <c r="B27" s="160" t="s">
        <v>179</v>
      </c>
      <c r="C27" s="160" t="s">
        <v>179</v>
      </c>
      <c r="D27" s="161">
        <f>D24-D21</f>
        <v>15810355.320833333</v>
      </c>
      <c r="E27" s="162">
        <f>+D27/H3</f>
        <v>395258.88302083331</v>
      </c>
      <c r="F27" s="8"/>
      <c r="G27" s="8" t="s">
        <v>102</v>
      </c>
      <c r="H27" s="163">
        <v>2</v>
      </c>
      <c r="I27" s="8" t="s">
        <v>265</v>
      </c>
      <c r="J27" s="8"/>
      <c r="K27" s="8"/>
      <c r="L27" s="8"/>
      <c r="M27" s="8"/>
      <c r="N27" s="8"/>
      <c r="O27" s="8"/>
      <c r="P27" s="127" t="s">
        <v>117</v>
      </c>
      <c r="Q27" s="128">
        <f>Q28+Q34+SUM(Q39:Q42)</f>
        <v>664650</v>
      </c>
      <c r="R27" s="128">
        <f>R28+R34+SUM(R39:R42)</f>
        <v>150498.48749999999</v>
      </c>
      <c r="S27" s="128">
        <f>Q27+R27</f>
        <v>815148.48750000005</v>
      </c>
      <c r="T27" s="128">
        <f>T28+T34+SUM(T39:T42)</f>
        <v>491650</v>
      </c>
      <c r="U27" s="128">
        <f>U28+U34+SUM(U39:U42)</f>
        <v>150368.73749999999</v>
      </c>
      <c r="V27" s="128">
        <f>T27+U27</f>
        <v>642018.73750000005</v>
      </c>
      <c r="W27" s="128">
        <f>W28+W34+SUM(W39:W42)</f>
        <v>843650</v>
      </c>
      <c r="X27" s="128">
        <f>X28+X34+SUM(X39:X42)</f>
        <v>150632.73749999999</v>
      </c>
      <c r="Y27" s="128">
        <f>W27+X27</f>
        <v>994282.73750000005</v>
      </c>
    </row>
    <row r="28" spans="1:29" ht="24" x14ac:dyDescent="0.8">
      <c r="A28" s="137" t="s">
        <v>266</v>
      </c>
      <c r="B28" s="160"/>
      <c r="C28" s="160"/>
      <c r="D28" s="161">
        <f>D25/$H$5</f>
        <v>25202.9375</v>
      </c>
      <c r="E28" s="162"/>
      <c r="F28" s="8"/>
      <c r="G28" s="8" t="s">
        <v>267</v>
      </c>
      <c r="H28" s="163">
        <v>250</v>
      </c>
      <c r="I28" s="8" t="s">
        <v>268</v>
      </c>
      <c r="J28" s="8"/>
      <c r="K28" s="8"/>
      <c r="L28" s="8"/>
      <c r="M28" s="8"/>
      <c r="N28" s="133"/>
      <c r="O28" s="8"/>
      <c r="P28" s="134" t="s">
        <v>201</v>
      </c>
      <c r="Q28" s="135">
        <f>SUM(Q29:Q33)</f>
        <v>161000</v>
      </c>
      <c r="R28" s="135">
        <f>SUM(R29:R33)</f>
        <v>0</v>
      </c>
      <c r="S28" s="135">
        <f>SUM(S31:S33)</f>
        <v>92000</v>
      </c>
      <c r="T28" s="135">
        <f>SUM(T29:T33)</f>
        <v>188000</v>
      </c>
      <c r="U28" s="135">
        <f>SUM(U29:U33)</f>
        <v>0</v>
      </c>
      <c r="V28" s="135">
        <f>SUM(V31:V33)</f>
        <v>188000</v>
      </c>
      <c r="W28" s="135">
        <f>SUM(W29:W33)</f>
        <v>480000</v>
      </c>
      <c r="X28" s="135">
        <f>SUM(X29:X33)</f>
        <v>0</v>
      </c>
      <c r="Y28" s="135">
        <f>SUM(Y31:Y33)</f>
        <v>480000</v>
      </c>
    </row>
    <row r="29" spans="1:29" ht="24" x14ac:dyDescent="0.8">
      <c r="A29" s="137" t="s">
        <v>269</v>
      </c>
      <c r="B29" s="160"/>
      <c r="C29" s="160"/>
      <c r="D29" s="161">
        <f t="shared" ref="D29:D30" si="12">D26/$H$5</f>
        <v>25206.6875</v>
      </c>
      <c r="E29" s="162"/>
      <c r="F29" s="8"/>
      <c r="G29" s="8" t="s">
        <v>138</v>
      </c>
      <c r="H29" s="163">
        <f>H27*H28</f>
        <v>500</v>
      </c>
      <c r="I29" s="8" t="s">
        <v>138</v>
      </c>
      <c r="J29" s="8"/>
      <c r="K29" s="8"/>
      <c r="L29" s="8"/>
      <c r="M29" s="8"/>
      <c r="N29" s="133"/>
      <c r="O29" s="8"/>
      <c r="P29" s="137" t="s">
        <v>297</v>
      </c>
      <c r="Q29" s="138">
        <f>+L10*H4*H3</f>
        <v>64000</v>
      </c>
      <c r="R29" s="138"/>
      <c r="S29" s="138">
        <f>SUM(Q29:R29)</f>
        <v>64000</v>
      </c>
      <c r="T29" s="138">
        <v>0</v>
      </c>
      <c r="U29" s="138"/>
      <c r="V29" s="138">
        <f>SUM(T29:U29)</f>
        <v>0</v>
      </c>
      <c r="W29" s="138">
        <v>0</v>
      </c>
      <c r="X29" s="138"/>
      <c r="Y29" s="138">
        <f>SUM(W29:X29)</f>
        <v>0</v>
      </c>
    </row>
    <row r="30" spans="1:29" ht="24" x14ac:dyDescent="0.8">
      <c r="A30" s="137" t="s">
        <v>270</v>
      </c>
      <c r="B30" s="160"/>
      <c r="C30" s="160"/>
      <c r="D30" s="161">
        <f t="shared" si="12"/>
        <v>19762.944151041665</v>
      </c>
      <c r="E30" s="162"/>
      <c r="F30" s="8"/>
      <c r="G30" s="8" t="s">
        <v>140</v>
      </c>
      <c r="H30" s="124">
        <v>300</v>
      </c>
      <c r="I30" s="8" t="s">
        <v>54</v>
      </c>
      <c r="J30" s="8"/>
      <c r="K30" s="8"/>
      <c r="L30" s="8"/>
      <c r="M30" s="8"/>
      <c r="N30" s="133"/>
      <c r="O30" s="8"/>
      <c r="P30" s="137" t="s">
        <v>302</v>
      </c>
      <c r="Q30" s="138">
        <v>5000</v>
      </c>
      <c r="R30" s="138"/>
      <c r="S30" s="138">
        <f>SUM(Q30:R30)</f>
        <v>5000</v>
      </c>
      <c r="T30" s="138">
        <v>0</v>
      </c>
      <c r="U30" s="138"/>
      <c r="V30" s="138">
        <f>SUM(T30:U30)</f>
        <v>0</v>
      </c>
      <c r="W30" s="138">
        <v>0</v>
      </c>
      <c r="X30" s="138"/>
      <c r="Y30" s="138">
        <f>SUM(W30:X30)</f>
        <v>0</v>
      </c>
    </row>
    <row r="31" spans="1:29" ht="24" x14ac:dyDescent="0.8">
      <c r="A31" s="137" t="s">
        <v>271</v>
      </c>
      <c r="B31" s="160" t="s">
        <v>179</v>
      </c>
      <c r="C31" s="160" t="s">
        <v>179</v>
      </c>
      <c r="D31" s="164">
        <f>D25/$H$8</f>
        <v>120.01398809523809</v>
      </c>
      <c r="E31" s="165"/>
      <c r="F31" s="8"/>
      <c r="G31" s="8"/>
      <c r="H31" s="133"/>
      <c r="I31" s="133"/>
      <c r="J31" s="8"/>
      <c r="K31" s="8"/>
      <c r="L31" s="8"/>
      <c r="M31" s="8"/>
      <c r="N31" s="133"/>
      <c r="O31" s="8"/>
      <c r="P31" s="137" t="s">
        <v>205</v>
      </c>
      <c r="Q31" s="138">
        <f>800*H3</f>
        <v>32000</v>
      </c>
      <c r="R31" s="138"/>
      <c r="S31" s="138">
        <f t="shared" ref="S31:S33" si="13">Q31+R31</f>
        <v>32000</v>
      </c>
      <c r="T31" s="138">
        <f>1200*H3</f>
        <v>48000</v>
      </c>
      <c r="U31" s="138"/>
      <c r="V31" s="138">
        <f t="shared" ref="V31:V33" si="14">T31+U31</f>
        <v>48000</v>
      </c>
      <c r="W31" s="138">
        <f>+L7*H3</f>
        <v>100000</v>
      </c>
      <c r="X31" s="138"/>
      <c r="Y31" s="138">
        <f t="shared" ref="Y31:Y33" si="15">W31+X31</f>
        <v>100000</v>
      </c>
    </row>
    <row r="32" spans="1:29" ht="24" x14ac:dyDescent="0.8">
      <c r="A32" s="137" t="s">
        <v>272</v>
      </c>
      <c r="B32" s="160" t="s">
        <v>179</v>
      </c>
      <c r="C32" s="160" t="s">
        <v>179</v>
      </c>
      <c r="D32" s="164">
        <f t="shared" ref="D32:D33" si="16">D26/$H$8</f>
        <v>120.03184523809524</v>
      </c>
      <c r="E32" s="165"/>
      <c r="F32" s="8"/>
      <c r="G32" s="8"/>
      <c r="H32" s="133"/>
      <c r="I32" s="133"/>
      <c r="J32" s="8"/>
      <c r="K32" s="133"/>
      <c r="L32" s="133"/>
      <c r="M32" s="8"/>
      <c r="N32" s="133"/>
      <c r="O32" s="8"/>
      <c r="P32" s="137" t="s">
        <v>209</v>
      </c>
      <c r="Q32" s="138">
        <f>1500*H3</f>
        <v>60000</v>
      </c>
      <c r="R32" s="138"/>
      <c r="S32" s="138">
        <f t="shared" si="13"/>
        <v>60000</v>
      </c>
      <c r="T32" s="138">
        <f>3500*H3</f>
        <v>140000</v>
      </c>
      <c r="U32" s="138"/>
      <c r="V32" s="138">
        <f t="shared" si="14"/>
        <v>140000</v>
      </c>
      <c r="W32" s="138">
        <f>+L8*H3</f>
        <v>140000</v>
      </c>
      <c r="X32" s="138"/>
      <c r="Y32" s="138">
        <f t="shared" si="15"/>
        <v>140000</v>
      </c>
    </row>
    <row r="33" spans="1:25" ht="24" x14ac:dyDescent="0.8">
      <c r="A33" s="137" t="s">
        <v>273</v>
      </c>
      <c r="B33" s="160" t="s">
        <v>179</v>
      </c>
      <c r="C33" s="160" t="s">
        <v>179</v>
      </c>
      <c r="D33" s="164">
        <f t="shared" si="16"/>
        <v>94.109257862103178</v>
      </c>
      <c r="E33" s="165"/>
      <c r="F33" s="8"/>
      <c r="G33" s="8"/>
      <c r="H33" s="133"/>
      <c r="I33" s="133"/>
      <c r="J33" s="8"/>
      <c r="K33" s="133"/>
      <c r="L33" s="133"/>
      <c r="M33" s="8"/>
      <c r="N33" s="133"/>
      <c r="O33" s="8"/>
      <c r="P33" s="137" t="s">
        <v>212</v>
      </c>
      <c r="Q33" s="138">
        <v>0</v>
      </c>
      <c r="R33" s="138"/>
      <c r="S33" s="138">
        <f t="shared" si="13"/>
        <v>0</v>
      </c>
      <c r="T33" s="138">
        <f>AD31*Z27</f>
        <v>0</v>
      </c>
      <c r="U33" s="138"/>
      <c r="V33" s="138">
        <f t="shared" si="14"/>
        <v>0</v>
      </c>
      <c r="W33" s="138">
        <f>+L9*H4*H3</f>
        <v>240000</v>
      </c>
      <c r="X33" s="138"/>
      <c r="Y33" s="138">
        <f t="shared" si="15"/>
        <v>240000</v>
      </c>
    </row>
    <row r="34" spans="1:25" ht="24" x14ac:dyDescent="0.8">
      <c r="I34" s="133"/>
      <c r="J34" s="133"/>
      <c r="K34" s="123"/>
      <c r="L34" s="8"/>
      <c r="M34" s="8"/>
      <c r="N34" s="133"/>
      <c r="O34" s="8"/>
      <c r="P34" s="134" t="s">
        <v>123</v>
      </c>
      <c r="Q34" s="139">
        <f t="shared" ref="Q34:Y34" si="17">SUM(Q35:Q38)</f>
        <v>416000</v>
      </c>
      <c r="R34" s="139">
        <f t="shared" si="17"/>
        <v>150000</v>
      </c>
      <c r="S34" s="139">
        <f t="shared" si="17"/>
        <v>566000</v>
      </c>
      <c r="T34" s="139">
        <f t="shared" si="17"/>
        <v>216000</v>
      </c>
      <c r="U34" s="139">
        <f t="shared" si="17"/>
        <v>150000</v>
      </c>
      <c r="V34" s="139">
        <f t="shared" si="17"/>
        <v>150000</v>
      </c>
      <c r="W34" s="139">
        <f t="shared" si="17"/>
        <v>276000</v>
      </c>
      <c r="X34" s="139">
        <f t="shared" si="17"/>
        <v>150000</v>
      </c>
      <c r="Y34" s="139">
        <f t="shared" si="17"/>
        <v>426000</v>
      </c>
    </row>
    <row r="35" spans="1:25" ht="24" x14ac:dyDescent="0.8">
      <c r="I35" s="133"/>
      <c r="J35" s="133"/>
      <c r="K35" s="123"/>
      <c r="L35" s="8"/>
      <c r="M35" s="8"/>
      <c r="N35" s="133"/>
      <c r="O35" s="8"/>
      <c r="P35" s="137" t="s">
        <v>218</v>
      </c>
      <c r="Q35" s="138"/>
      <c r="R35" s="138">
        <f>+H29*H30</f>
        <v>150000</v>
      </c>
      <c r="S35" s="138">
        <f t="shared" ref="S35:S42" si="18">Q35+R35</f>
        <v>150000</v>
      </c>
      <c r="T35" s="138"/>
      <c r="U35" s="138">
        <f>+R35</f>
        <v>150000</v>
      </c>
      <c r="V35" s="138">
        <f t="shared" ref="V35" si="19">T35+U35</f>
        <v>150000</v>
      </c>
      <c r="W35" s="138"/>
      <c r="X35" s="138">
        <f>+U35</f>
        <v>150000</v>
      </c>
      <c r="Y35" s="138">
        <f t="shared" ref="Y35:Y38" si="20">W35+X35</f>
        <v>150000</v>
      </c>
    </row>
    <row r="36" spans="1:25" ht="24" x14ac:dyDescent="0.8">
      <c r="I36" s="133"/>
      <c r="J36" s="133"/>
      <c r="K36" s="123"/>
      <c r="L36" s="8"/>
      <c r="M36" s="8"/>
      <c r="N36" s="133"/>
      <c r="O36" s="8"/>
      <c r="P36" s="137" t="s">
        <v>299</v>
      </c>
      <c r="Q36" s="138">
        <f>+H19*12</f>
        <v>216000</v>
      </c>
      <c r="R36" s="138"/>
      <c r="S36" s="138">
        <f t="shared" si="18"/>
        <v>216000</v>
      </c>
      <c r="T36" s="138">
        <f>+H19*12</f>
        <v>216000</v>
      </c>
      <c r="U36" s="138"/>
      <c r="V36" s="138"/>
      <c r="W36" s="138">
        <f>+T36</f>
        <v>216000</v>
      </c>
      <c r="X36" s="138"/>
      <c r="Y36" s="138">
        <f t="shared" si="20"/>
        <v>216000</v>
      </c>
    </row>
    <row r="37" spans="1:25" ht="24" x14ac:dyDescent="0.8">
      <c r="I37" s="133"/>
      <c r="J37" s="133"/>
      <c r="K37" s="123"/>
      <c r="L37" s="8"/>
      <c r="M37" s="8"/>
      <c r="N37" s="8"/>
      <c r="O37" s="8"/>
      <c r="P37" s="137" t="s">
        <v>300</v>
      </c>
      <c r="Q37" s="138">
        <f>+L23*H3</f>
        <v>200000</v>
      </c>
      <c r="R37" s="138"/>
      <c r="S37" s="138">
        <f t="shared" si="18"/>
        <v>200000</v>
      </c>
      <c r="T37" s="138"/>
      <c r="U37" s="138"/>
      <c r="V37" s="138"/>
      <c r="W37" s="138"/>
      <c r="X37" s="138"/>
      <c r="Y37" s="138">
        <f t="shared" si="20"/>
        <v>0</v>
      </c>
    </row>
    <row r="38" spans="1:25" ht="24" x14ac:dyDescent="0.8">
      <c r="I38" s="131"/>
      <c r="J38" s="131"/>
      <c r="K38" s="132"/>
      <c r="L38" s="8"/>
      <c r="M38" s="8"/>
      <c r="N38" s="8"/>
      <c r="O38" s="8"/>
      <c r="P38" s="137" t="s">
        <v>305</v>
      </c>
      <c r="Q38" s="138">
        <v>0</v>
      </c>
      <c r="R38" s="138"/>
      <c r="S38" s="138">
        <f t="shared" si="18"/>
        <v>0</v>
      </c>
      <c r="T38" s="138">
        <f>Z46*Z47+Z42*12</f>
        <v>0</v>
      </c>
      <c r="U38" s="138"/>
      <c r="V38" s="138">
        <f t="shared" ref="V38:V42" si="21">T38+U38</f>
        <v>0</v>
      </c>
      <c r="W38" s="138">
        <f>30*5*400</f>
        <v>60000</v>
      </c>
      <c r="X38" s="138"/>
      <c r="Y38" s="138">
        <f t="shared" si="20"/>
        <v>60000</v>
      </c>
    </row>
    <row r="39" spans="1:25" ht="24" x14ac:dyDescent="0.8">
      <c r="I39" s="8"/>
      <c r="J39" s="8"/>
      <c r="K39" s="8"/>
      <c r="L39" s="8"/>
      <c r="M39" s="8"/>
      <c r="N39" s="8"/>
      <c r="O39" s="8"/>
      <c r="P39" s="137" t="s">
        <v>226</v>
      </c>
      <c r="Q39" s="138">
        <v>1000</v>
      </c>
      <c r="R39" s="138"/>
      <c r="S39" s="138">
        <f t="shared" si="18"/>
        <v>1000</v>
      </c>
      <c r="T39" s="138">
        <v>1000</v>
      </c>
      <c r="U39" s="138"/>
      <c r="V39" s="138">
        <f t="shared" si="21"/>
        <v>1000</v>
      </c>
      <c r="W39" s="138">
        <v>1000</v>
      </c>
      <c r="X39" s="138"/>
      <c r="Y39" s="138">
        <f t="shared" ref="Y39:Y42" si="22">W39+X39</f>
        <v>1000</v>
      </c>
    </row>
    <row r="40" spans="1:25" ht="24" x14ac:dyDescent="0.8">
      <c r="I40" s="143"/>
      <c r="J40" s="8"/>
      <c r="K40" s="8"/>
      <c r="L40" s="8"/>
      <c r="M40" s="10"/>
      <c r="N40" s="133"/>
      <c r="O40" s="8"/>
      <c r="P40" s="137" t="s">
        <v>231</v>
      </c>
      <c r="Q40" s="138">
        <f>+L13</f>
        <v>60000</v>
      </c>
      <c r="R40" s="138"/>
      <c r="S40" s="138">
        <f t="shared" si="18"/>
        <v>60000</v>
      </c>
      <c r="T40" s="138">
        <f>+L13</f>
        <v>60000</v>
      </c>
      <c r="U40" s="138"/>
      <c r="V40" s="138">
        <f t="shared" si="21"/>
        <v>60000</v>
      </c>
      <c r="W40" s="138">
        <v>60000</v>
      </c>
      <c r="X40" s="138"/>
      <c r="Y40" s="138">
        <f t="shared" si="22"/>
        <v>60000</v>
      </c>
    </row>
    <row r="41" spans="1:25" ht="24" x14ac:dyDescent="0.8">
      <c r="I41" s="143"/>
      <c r="J41" s="166"/>
      <c r="K41" s="133"/>
      <c r="L41" s="123"/>
      <c r="M41" s="133"/>
      <c r="N41" s="167"/>
      <c r="O41" s="8"/>
      <c r="P41" s="137" t="s">
        <v>234</v>
      </c>
      <c r="Q41" s="138">
        <f>+AC20</f>
        <v>26650</v>
      </c>
      <c r="R41" s="138"/>
      <c r="S41" s="138">
        <f t="shared" si="18"/>
        <v>26650</v>
      </c>
      <c r="T41" s="138">
        <f>+Q41</f>
        <v>26650</v>
      </c>
      <c r="U41" s="138"/>
      <c r="V41" s="138">
        <f t="shared" si="21"/>
        <v>26650</v>
      </c>
      <c r="W41" s="138">
        <f>+AC20</f>
        <v>26650</v>
      </c>
      <c r="X41" s="138"/>
      <c r="Y41" s="138">
        <f t="shared" si="22"/>
        <v>26650</v>
      </c>
    </row>
    <row r="42" spans="1:25" ht="24" x14ac:dyDescent="0.8">
      <c r="I42" s="133"/>
      <c r="J42" s="168"/>
      <c r="K42" s="133"/>
      <c r="L42" s="8"/>
      <c r="M42" s="133"/>
      <c r="N42" s="169"/>
      <c r="O42" s="8"/>
      <c r="P42" s="137" t="s">
        <v>237</v>
      </c>
      <c r="Q42" s="138"/>
      <c r="R42" s="138">
        <f>+Q27*L19</f>
        <v>498.48750000000001</v>
      </c>
      <c r="S42" s="138">
        <f t="shared" si="18"/>
        <v>498.48750000000001</v>
      </c>
      <c r="T42" s="138"/>
      <c r="U42" s="138">
        <f>+T27*L19</f>
        <v>368.73750000000001</v>
      </c>
      <c r="V42" s="138">
        <f t="shared" si="21"/>
        <v>368.73750000000001</v>
      </c>
      <c r="W42" s="138"/>
      <c r="X42" s="138">
        <f>+W27*L19</f>
        <v>632.73750000000007</v>
      </c>
      <c r="Y42" s="138">
        <f t="shared" si="22"/>
        <v>632.73750000000007</v>
      </c>
    </row>
    <row r="43" spans="1:25" ht="24" x14ac:dyDescent="0.8">
      <c r="I43" s="133"/>
      <c r="J43" s="168"/>
      <c r="K43" s="133"/>
      <c r="L43" s="8"/>
      <c r="M43" s="8"/>
      <c r="N43" s="133"/>
      <c r="O43" s="8"/>
      <c r="P43" s="127" t="s">
        <v>149</v>
      </c>
      <c r="Q43" s="128">
        <f t="shared" ref="Q43:Y43" si="23">SUM(Q44:Q46)</f>
        <v>3000</v>
      </c>
      <c r="R43" s="128">
        <f t="shared" si="23"/>
        <v>4201368.6916666664</v>
      </c>
      <c r="S43" s="128">
        <f t="shared" si="23"/>
        <v>4204368.6916666664</v>
      </c>
      <c r="T43" s="128">
        <f t="shared" si="23"/>
        <v>3000</v>
      </c>
      <c r="U43" s="128">
        <f t="shared" si="23"/>
        <v>4201368.6916666664</v>
      </c>
      <c r="V43" s="128">
        <f t="shared" si="23"/>
        <v>4204368.6916666664</v>
      </c>
      <c r="W43" s="128">
        <f t="shared" si="23"/>
        <v>3000</v>
      </c>
      <c r="X43" s="128">
        <f t="shared" si="23"/>
        <v>4201368.6916666664</v>
      </c>
      <c r="Y43" s="128">
        <f t="shared" si="23"/>
        <v>4204368.6916666664</v>
      </c>
    </row>
    <row r="44" spans="1:25" ht="24" x14ac:dyDescent="0.8">
      <c r="I44" s="10"/>
      <c r="J44" s="8"/>
      <c r="K44" s="8"/>
      <c r="L44" s="8"/>
      <c r="M44" s="8"/>
      <c r="N44" s="133"/>
      <c r="O44" s="8"/>
      <c r="P44" s="137" t="s">
        <v>241</v>
      </c>
      <c r="Q44" s="138">
        <v>3000</v>
      </c>
      <c r="R44" s="138">
        <f>+L3*H3</f>
        <v>4000000</v>
      </c>
      <c r="S44" s="138">
        <f>Q44+R44</f>
        <v>4003000</v>
      </c>
      <c r="T44" s="138">
        <v>3000</v>
      </c>
      <c r="U44" s="138">
        <f>+R44</f>
        <v>4000000</v>
      </c>
      <c r="V44" s="138">
        <f>T44+U44</f>
        <v>4003000</v>
      </c>
      <c r="W44" s="138">
        <v>3000</v>
      </c>
      <c r="X44" s="138">
        <f>+R44</f>
        <v>4000000</v>
      </c>
      <c r="Y44" s="138">
        <f>W44+X44</f>
        <v>4003000</v>
      </c>
    </row>
    <row r="45" spans="1:25" ht="24" x14ac:dyDescent="0.8">
      <c r="I45" s="8"/>
      <c r="J45" s="133"/>
      <c r="K45" s="8"/>
      <c r="L45" s="8"/>
      <c r="M45" s="8"/>
      <c r="N45" s="133"/>
      <c r="O45" s="8"/>
      <c r="P45" s="137" t="s">
        <v>152</v>
      </c>
      <c r="Q45" s="138">
        <v>0</v>
      </c>
      <c r="R45" s="138">
        <f>+X20</f>
        <v>147562.66666666666</v>
      </c>
      <c r="S45" s="138">
        <f t="shared" ref="S45:S47" si="24">Q45+R45</f>
        <v>147562.66666666666</v>
      </c>
      <c r="T45" s="138">
        <v>0</v>
      </c>
      <c r="U45" s="138">
        <f>+X20</f>
        <v>147562.66666666666</v>
      </c>
      <c r="V45" s="138">
        <f t="shared" ref="V45:V47" si="25">T45+U45</f>
        <v>147562.66666666666</v>
      </c>
      <c r="W45" s="138">
        <v>0</v>
      </c>
      <c r="X45" s="138">
        <f>+X20</f>
        <v>147562.66666666666</v>
      </c>
      <c r="Y45" s="138">
        <f t="shared" ref="Y45:Y47" si="26">W45+X45</f>
        <v>147562.66666666666</v>
      </c>
    </row>
    <row r="46" spans="1:25" ht="24" x14ac:dyDescent="0.8">
      <c r="I46" s="8"/>
      <c r="J46" s="133"/>
      <c r="K46" s="8"/>
      <c r="L46" s="8"/>
      <c r="M46" s="8"/>
      <c r="N46" s="133"/>
      <c r="O46" s="8"/>
      <c r="P46" s="137" t="s">
        <v>153</v>
      </c>
      <c r="Q46" s="138">
        <v>0</v>
      </c>
      <c r="R46" s="138">
        <f>+AA20</f>
        <v>53806.025000000001</v>
      </c>
      <c r="S46" s="138">
        <f t="shared" si="24"/>
        <v>53806.025000000001</v>
      </c>
      <c r="T46" s="138">
        <v>0</v>
      </c>
      <c r="U46" s="138">
        <f>+AA20</f>
        <v>53806.025000000001</v>
      </c>
      <c r="V46" s="138">
        <f t="shared" si="25"/>
        <v>53806.025000000001</v>
      </c>
      <c r="W46" s="138">
        <v>0</v>
      </c>
      <c r="X46" s="138">
        <f>+AA20</f>
        <v>53806.025000000001</v>
      </c>
      <c r="Y46" s="138">
        <f t="shared" si="26"/>
        <v>53806.025000000001</v>
      </c>
    </row>
    <row r="47" spans="1:25" ht="24" x14ac:dyDescent="0.8">
      <c r="I47" s="8"/>
      <c r="J47" s="133"/>
      <c r="K47" s="8"/>
      <c r="L47" s="8"/>
      <c r="M47" s="8"/>
      <c r="N47" s="133"/>
      <c r="O47" s="8"/>
      <c r="P47" s="152" t="s">
        <v>253</v>
      </c>
      <c r="Q47" s="153">
        <f>Q27+Q43</f>
        <v>667650</v>
      </c>
      <c r="R47" s="153">
        <f>R27+R43</f>
        <v>4351867.1791666662</v>
      </c>
      <c r="S47" s="153">
        <f t="shared" si="24"/>
        <v>5019517.1791666662</v>
      </c>
      <c r="T47" s="153">
        <f>T27+T43</f>
        <v>494650</v>
      </c>
      <c r="U47" s="153">
        <f>U27+U43</f>
        <v>4351737.4291666662</v>
      </c>
      <c r="V47" s="153">
        <f t="shared" si="25"/>
        <v>4846387.4291666662</v>
      </c>
      <c r="W47" s="153">
        <f>W27+W43</f>
        <v>846650</v>
      </c>
      <c r="X47" s="153">
        <f>X27+X43</f>
        <v>4352001.4291666662</v>
      </c>
      <c r="Y47" s="153">
        <f t="shared" si="26"/>
        <v>5198651.4291666662</v>
      </c>
    </row>
    <row r="48" spans="1:25" ht="24" x14ac:dyDescent="0.8">
      <c r="I48" s="10"/>
      <c r="J48" s="8"/>
      <c r="K48" s="8"/>
      <c r="L48" s="8"/>
      <c r="M48" s="8"/>
      <c r="N48" s="8"/>
      <c r="O48" s="8"/>
      <c r="P48" s="134" t="s">
        <v>256</v>
      </c>
      <c r="Q48" s="135">
        <f t="shared" ref="Q48:Y48" si="27">Q47/$H$5</f>
        <v>834.5625</v>
      </c>
      <c r="R48" s="135">
        <f t="shared" si="27"/>
        <v>5439.8339739583325</v>
      </c>
      <c r="S48" s="135">
        <f t="shared" si="27"/>
        <v>6274.3964739583325</v>
      </c>
      <c r="T48" s="135">
        <f t="shared" si="27"/>
        <v>618.3125</v>
      </c>
      <c r="U48" s="135">
        <f t="shared" si="27"/>
        <v>5439.6717864583325</v>
      </c>
      <c r="V48" s="135">
        <f t="shared" si="27"/>
        <v>6057.9842864583325</v>
      </c>
      <c r="W48" s="135">
        <f t="shared" si="27"/>
        <v>1058.3125</v>
      </c>
      <c r="X48" s="135">
        <f t="shared" si="27"/>
        <v>5440.0017864583324</v>
      </c>
      <c r="Y48" s="135">
        <f t="shared" si="27"/>
        <v>6498.3142864583324</v>
      </c>
    </row>
    <row r="49" spans="16:27" ht="24" x14ac:dyDescent="0.8">
      <c r="P49" s="134" t="s">
        <v>257</v>
      </c>
      <c r="Q49" s="135">
        <f t="shared" ref="Q49:Y49" si="28">Q47/$H$8</f>
        <v>3.9741071428571431</v>
      </c>
      <c r="R49" s="135">
        <f t="shared" si="28"/>
        <v>25.903971304563491</v>
      </c>
      <c r="S49" s="135">
        <f t="shared" si="28"/>
        <v>29.878078447420631</v>
      </c>
      <c r="T49" s="135">
        <f t="shared" si="28"/>
        <v>2.944345238095238</v>
      </c>
      <c r="U49" s="135">
        <f t="shared" si="28"/>
        <v>25.903198983134917</v>
      </c>
      <c r="V49" s="135">
        <f t="shared" si="28"/>
        <v>28.847544221230155</v>
      </c>
      <c r="W49" s="135">
        <f t="shared" si="28"/>
        <v>5.0395833333333337</v>
      </c>
      <c r="X49" s="135">
        <f t="shared" si="28"/>
        <v>25.904770411706348</v>
      </c>
      <c r="Y49" s="135">
        <f t="shared" si="28"/>
        <v>30.944353745039681</v>
      </c>
    </row>
    <row r="50" spans="16:27" ht="24" x14ac:dyDescent="0.8">
      <c r="P50" s="152" t="s">
        <v>259</v>
      </c>
      <c r="Q50" s="153"/>
      <c r="R50" s="153"/>
      <c r="S50" s="153">
        <f>W30*W39</f>
        <v>0</v>
      </c>
      <c r="T50" s="153"/>
      <c r="U50" s="153"/>
      <c r="V50" s="153">
        <f>Z30*Z39</f>
        <v>0</v>
      </c>
      <c r="W50" s="153"/>
      <c r="X50" s="153"/>
      <c r="Y50" s="153">
        <f>+H8*H16</f>
        <v>21000000</v>
      </c>
    </row>
    <row r="51" spans="16:27" ht="24" x14ac:dyDescent="0.8">
      <c r="P51" s="137" t="s">
        <v>261</v>
      </c>
      <c r="Q51" s="179" t="s">
        <v>179</v>
      </c>
      <c r="R51" s="179" t="s">
        <v>179</v>
      </c>
      <c r="S51" s="180"/>
      <c r="T51" s="181"/>
      <c r="U51" s="181"/>
      <c r="V51" s="181"/>
      <c r="W51" s="181"/>
      <c r="X51" s="181"/>
      <c r="Y51" s="161">
        <f>Y50-W47</f>
        <v>20153350</v>
      </c>
    </row>
    <row r="52" spans="16:27" ht="24" x14ac:dyDescent="0.8">
      <c r="P52" s="137" t="s">
        <v>263</v>
      </c>
      <c r="Q52" s="179" t="s">
        <v>179</v>
      </c>
      <c r="R52" s="179" t="s">
        <v>179</v>
      </c>
      <c r="S52" s="180"/>
      <c r="T52" s="181"/>
      <c r="U52" s="181"/>
      <c r="V52" s="181"/>
      <c r="W52" s="181"/>
      <c r="X52" s="181"/>
      <c r="Y52" s="161">
        <f>Y50-W31</f>
        <v>20900000</v>
      </c>
    </row>
    <row r="53" spans="16:27" ht="24" x14ac:dyDescent="0.8">
      <c r="P53" s="137" t="s">
        <v>264</v>
      </c>
      <c r="Q53" s="179" t="s">
        <v>179</v>
      </c>
      <c r="R53" s="179" t="s">
        <v>179</v>
      </c>
      <c r="S53" s="180"/>
      <c r="T53" s="181"/>
      <c r="U53" s="181"/>
      <c r="V53" s="181"/>
      <c r="W53" s="181"/>
      <c r="X53" s="181"/>
      <c r="Y53" s="161">
        <f>Y50-Y47</f>
        <v>15801348.570833333</v>
      </c>
    </row>
    <row r="54" spans="16:27" ht="24" x14ac:dyDescent="0.8">
      <c r="P54" s="137" t="s">
        <v>266</v>
      </c>
      <c r="Q54" s="179"/>
      <c r="R54" s="179"/>
      <c r="S54" s="180"/>
      <c r="T54" s="181"/>
      <c r="U54" s="181"/>
      <c r="V54" s="181"/>
      <c r="W54" s="181"/>
      <c r="X54" s="181"/>
      <c r="Y54" s="161">
        <f>Y51/$H$5</f>
        <v>25191.6875</v>
      </c>
    </row>
    <row r="55" spans="16:27" ht="24" x14ac:dyDescent="0.8">
      <c r="P55" s="137" t="s">
        <v>269</v>
      </c>
      <c r="Q55" s="179"/>
      <c r="R55" s="179"/>
      <c r="S55" s="180"/>
      <c r="T55" s="181"/>
      <c r="U55" s="181"/>
      <c r="V55" s="181"/>
      <c r="W55" s="181"/>
      <c r="X55" s="181"/>
      <c r="Y55" s="161">
        <f t="shared" ref="Y55:Y56" si="29">Y52/$H$5</f>
        <v>26125</v>
      </c>
    </row>
    <row r="56" spans="16:27" ht="24" x14ac:dyDescent="0.8">
      <c r="P56" s="137" t="s">
        <v>270</v>
      </c>
      <c r="Q56" s="179"/>
      <c r="R56" s="179"/>
      <c r="S56" s="180"/>
      <c r="T56" s="181"/>
      <c r="U56" s="181"/>
      <c r="V56" s="181"/>
      <c r="W56" s="181"/>
      <c r="X56" s="181"/>
      <c r="Y56" s="161">
        <f t="shared" si="29"/>
        <v>19751.685713541665</v>
      </c>
    </row>
    <row r="57" spans="16:27" ht="24" x14ac:dyDescent="0.8">
      <c r="P57" s="137" t="s">
        <v>271</v>
      </c>
      <c r="Q57" s="179" t="s">
        <v>179</v>
      </c>
      <c r="R57" s="179" t="s">
        <v>179</v>
      </c>
      <c r="S57" s="182"/>
      <c r="T57" s="181"/>
      <c r="U57" s="181"/>
      <c r="V57" s="181"/>
      <c r="W57" s="181"/>
      <c r="X57" s="181"/>
      <c r="Y57" s="164">
        <f>Y51/$H$8</f>
        <v>119.96041666666666</v>
      </c>
    </row>
    <row r="58" spans="16:27" ht="24" x14ac:dyDescent="0.8">
      <c r="P58" s="137" t="s">
        <v>272</v>
      </c>
      <c r="Q58" s="179" t="s">
        <v>179</v>
      </c>
      <c r="R58" s="179" t="s">
        <v>179</v>
      </c>
      <c r="S58" s="182"/>
      <c r="T58" s="181"/>
      <c r="U58" s="181"/>
      <c r="V58" s="181"/>
      <c r="W58" s="181"/>
      <c r="X58" s="181"/>
      <c r="Y58" s="164">
        <f t="shared" ref="Y58:Y59" si="30">Y52/$H$8</f>
        <v>124.4047619047619</v>
      </c>
    </row>
    <row r="59" spans="16:27" ht="24" x14ac:dyDescent="0.8">
      <c r="P59" s="137" t="s">
        <v>273</v>
      </c>
      <c r="Q59" s="179" t="s">
        <v>179</v>
      </c>
      <c r="R59" s="179" t="s">
        <v>179</v>
      </c>
      <c r="S59" s="182"/>
      <c r="T59" s="181"/>
      <c r="U59" s="181"/>
      <c r="V59" s="181"/>
      <c r="W59" s="181"/>
      <c r="X59" s="181"/>
      <c r="Y59" s="164">
        <f t="shared" si="30"/>
        <v>94.055646254960308</v>
      </c>
    </row>
    <row r="62" spans="16:27" ht="27" x14ac:dyDescent="0.9">
      <c r="P62" s="105" t="s">
        <v>186</v>
      </c>
      <c r="Q62" s="192" t="s">
        <v>296</v>
      </c>
      <c r="R62" s="192" t="s">
        <v>303</v>
      </c>
      <c r="S62" s="193" t="s">
        <v>307</v>
      </c>
      <c r="T62" s="193" t="s">
        <v>308</v>
      </c>
      <c r="U62" s="193" t="s">
        <v>309</v>
      </c>
      <c r="V62" s="192" t="s">
        <v>310</v>
      </c>
      <c r="W62" s="192" t="s">
        <v>311</v>
      </c>
      <c r="X62" s="193" t="s">
        <v>312</v>
      </c>
      <c r="Y62" s="193" t="s">
        <v>313</v>
      </c>
      <c r="Z62" s="193" t="s">
        <v>314</v>
      </c>
      <c r="AA62" s="193" t="s">
        <v>315</v>
      </c>
    </row>
    <row r="63" spans="16:27" ht="27" x14ac:dyDescent="0.9">
      <c r="P63" s="121" t="s">
        <v>179</v>
      </c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</row>
    <row r="64" spans="16:27" ht="27" x14ac:dyDescent="0.9">
      <c r="P64" s="186" t="s">
        <v>117</v>
      </c>
      <c r="Q64" s="187">
        <f>+S27</f>
        <v>815148.48750000005</v>
      </c>
      <c r="R64" s="187">
        <f>+V27</f>
        <v>642018.73750000005</v>
      </c>
      <c r="S64" s="187">
        <f>R64</f>
        <v>642018.73750000005</v>
      </c>
      <c r="T64" s="187">
        <f>R64</f>
        <v>642018.73750000005</v>
      </c>
      <c r="U64" s="187">
        <f>R64</f>
        <v>642018.73750000005</v>
      </c>
      <c r="V64" s="187">
        <f>Y27</f>
        <v>994282.73750000005</v>
      </c>
      <c r="W64" s="187">
        <f>V64</f>
        <v>994282.73750000005</v>
      </c>
      <c r="X64" s="187">
        <f>V64</f>
        <v>994282.73750000005</v>
      </c>
      <c r="Y64" s="187">
        <f>V64</f>
        <v>994282.73750000005</v>
      </c>
      <c r="Z64" s="187">
        <f>V64</f>
        <v>994282.73750000005</v>
      </c>
      <c r="AA64" s="187">
        <f>AA65+AA71+SUM(AA76:AA79)</f>
        <v>991163.71250000002</v>
      </c>
    </row>
    <row r="65" spans="16:27" ht="27" x14ac:dyDescent="0.9">
      <c r="P65" s="134" t="s">
        <v>201</v>
      </c>
      <c r="Q65" s="191">
        <f t="shared" ref="Q65:Q84" si="31">+S28</f>
        <v>92000</v>
      </c>
      <c r="R65" s="191">
        <f t="shared" ref="R65:R84" si="32">+V28</f>
        <v>188000</v>
      </c>
      <c r="S65" s="191">
        <f t="shared" ref="S65:S84" si="33">R65</f>
        <v>188000</v>
      </c>
      <c r="T65" s="191">
        <f t="shared" ref="T65:T84" si="34">R65</f>
        <v>188000</v>
      </c>
      <c r="U65" s="191">
        <f t="shared" ref="U65:U84" si="35">R65</f>
        <v>188000</v>
      </c>
      <c r="V65" s="191">
        <f t="shared" ref="V65:V84" si="36">Y28</f>
        <v>480000</v>
      </c>
      <c r="W65" s="191">
        <f t="shared" ref="W65:W84" si="37">V65</f>
        <v>480000</v>
      </c>
      <c r="X65" s="191">
        <f t="shared" ref="X65:X84" si="38">V65</f>
        <v>480000</v>
      </c>
      <c r="Y65" s="191">
        <f t="shared" ref="Y65:Y84" si="39">V65</f>
        <v>480000</v>
      </c>
      <c r="Z65" s="191">
        <f t="shared" ref="Z65:Z84" si="40">V65</f>
        <v>480000</v>
      </c>
      <c r="AA65" s="191">
        <f>+SUM(AA66:AA70)</f>
        <v>393400</v>
      </c>
    </row>
    <row r="66" spans="16:27" ht="27" x14ac:dyDescent="0.9">
      <c r="P66" s="137" t="s">
        <v>297</v>
      </c>
      <c r="Q66" s="183">
        <f t="shared" si="31"/>
        <v>64000</v>
      </c>
      <c r="R66" s="183">
        <f t="shared" si="32"/>
        <v>0</v>
      </c>
      <c r="S66" s="183">
        <f t="shared" si="33"/>
        <v>0</v>
      </c>
      <c r="T66" s="183">
        <f t="shared" si="34"/>
        <v>0</v>
      </c>
      <c r="U66" s="183">
        <f t="shared" si="35"/>
        <v>0</v>
      </c>
      <c r="V66" s="183">
        <f t="shared" si="36"/>
        <v>0</v>
      </c>
      <c r="W66" s="183">
        <f t="shared" si="37"/>
        <v>0</v>
      </c>
      <c r="X66" s="183">
        <f t="shared" si="38"/>
        <v>0</v>
      </c>
      <c r="Y66" s="183">
        <f t="shared" si="39"/>
        <v>0</v>
      </c>
      <c r="Z66" s="183">
        <f t="shared" si="40"/>
        <v>0</v>
      </c>
      <c r="AA66" s="183">
        <f>+Q66</f>
        <v>64000</v>
      </c>
    </row>
    <row r="67" spans="16:27" ht="27" x14ac:dyDescent="0.9">
      <c r="P67" s="137" t="s">
        <v>302</v>
      </c>
      <c r="Q67" s="183">
        <f t="shared" si="31"/>
        <v>5000</v>
      </c>
      <c r="R67" s="183">
        <f t="shared" si="32"/>
        <v>0</v>
      </c>
      <c r="S67" s="183">
        <f t="shared" si="33"/>
        <v>0</v>
      </c>
      <c r="T67" s="183">
        <f t="shared" si="34"/>
        <v>0</v>
      </c>
      <c r="U67" s="183">
        <f t="shared" si="35"/>
        <v>0</v>
      </c>
      <c r="V67" s="183">
        <f t="shared" si="36"/>
        <v>0</v>
      </c>
      <c r="W67" s="183">
        <f t="shared" si="37"/>
        <v>0</v>
      </c>
      <c r="X67" s="183">
        <f t="shared" si="38"/>
        <v>0</v>
      </c>
      <c r="Y67" s="183">
        <f t="shared" si="39"/>
        <v>0</v>
      </c>
      <c r="Z67" s="183">
        <f t="shared" si="40"/>
        <v>0</v>
      </c>
      <c r="AA67" s="183">
        <f>+Q67</f>
        <v>5000</v>
      </c>
    </row>
    <row r="68" spans="16:27" ht="27" x14ac:dyDescent="0.9">
      <c r="P68" s="137" t="s">
        <v>205</v>
      </c>
      <c r="Q68" s="183">
        <f t="shared" si="31"/>
        <v>32000</v>
      </c>
      <c r="R68" s="183">
        <f t="shared" si="32"/>
        <v>48000</v>
      </c>
      <c r="S68" s="183">
        <f t="shared" si="33"/>
        <v>48000</v>
      </c>
      <c r="T68" s="183">
        <f t="shared" si="34"/>
        <v>48000</v>
      </c>
      <c r="U68" s="183">
        <f t="shared" si="35"/>
        <v>48000</v>
      </c>
      <c r="V68" s="183">
        <f t="shared" si="36"/>
        <v>100000</v>
      </c>
      <c r="W68" s="183">
        <f t="shared" si="37"/>
        <v>100000</v>
      </c>
      <c r="X68" s="183">
        <f t="shared" si="38"/>
        <v>100000</v>
      </c>
      <c r="Y68" s="183">
        <f t="shared" si="39"/>
        <v>100000</v>
      </c>
      <c r="Z68" s="183">
        <f t="shared" si="40"/>
        <v>100000</v>
      </c>
      <c r="AA68" s="183">
        <f t="shared" ref="AA68:AA83" si="41">AVERAGE(Q68:Z68)</f>
        <v>72400</v>
      </c>
    </row>
    <row r="69" spans="16:27" ht="27" x14ac:dyDescent="0.9">
      <c r="P69" s="137" t="s">
        <v>209</v>
      </c>
      <c r="Q69" s="183">
        <f t="shared" si="31"/>
        <v>60000</v>
      </c>
      <c r="R69" s="183">
        <f t="shared" si="32"/>
        <v>140000</v>
      </c>
      <c r="S69" s="183">
        <f t="shared" si="33"/>
        <v>140000</v>
      </c>
      <c r="T69" s="183">
        <f t="shared" si="34"/>
        <v>140000</v>
      </c>
      <c r="U69" s="183">
        <f t="shared" si="35"/>
        <v>140000</v>
      </c>
      <c r="V69" s="183">
        <f t="shared" si="36"/>
        <v>140000</v>
      </c>
      <c r="W69" s="183">
        <f t="shared" si="37"/>
        <v>140000</v>
      </c>
      <c r="X69" s="183">
        <f t="shared" si="38"/>
        <v>140000</v>
      </c>
      <c r="Y69" s="183">
        <f t="shared" si="39"/>
        <v>140000</v>
      </c>
      <c r="Z69" s="183">
        <f t="shared" si="40"/>
        <v>140000</v>
      </c>
      <c r="AA69" s="183">
        <f t="shared" si="41"/>
        <v>132000</v>
      </c>
    </row>
    <row r="70" spans="16:27" ht="27" x14ac:dyDescent="0.9">
      <c r="P70" s="137" t="s">
        <v>212</v>
      </c>
      <c r="Q70" s="183">
        <f t="shared" si="31"/>
        <v>0</v>
      </c>
      <c r="R70" s="183">
        <f t="shared" si="32"/>
        <v>0</v>
      </c>
      <c r="S70" s="183">
        <f t="shared" si="33"/>
        <v>0</v>
      </c>
      <c r="T70" s="183">
        <f t="shared" si="34"/>
        <v>0</v>
      </c>
      <c r="U70" s="183">
        <f t="shared" si="35"/>
        <v>0</v>
      </c>
      <c r="V70" s="183">
        <f t="shared" si="36"/>
        <v>240000</v>
      </c>
      <c r="W70" s="183">
        <f t="shared" si="37"/>
        <v>240000</v>
      </c>
      <c r="X70" s="183">
        <f t="shared" si="38"/>
        <v>240000</v>
      </c>
      <c r="Y70" s="183">
        <f t="shared" si="39"/>
        <v>240000</v>
      </c>
      <c r="Z70" s="183">
        <f t="shared" si="40"/>
        <v>240000</v>
      </c>
      <c r="AA70" s="183">
        <f t="shared" si="41"/>
        <v>120000</v>
      </c>
    </row>
    <row r="71" spans="16:27" ht="27" x14ac:dyDescent="0.9">
      <c r="P71" s="134" t="s">
        <v>123</v>
      </c>
      <c r="Q71" s="191">
        <f t="shared" si="31"/>
        <v>566000</v>
      </c>
      <c r="R71" s="191">
        <f t="shared" si="32"/>
        <v>150000</v>
      </c>
      <c r="S71" s="191">
        <f t="shared" si="33"/>
        <v>150000</v>
      </c>
      <c r="T71" s="191">
        <f t="shared" si="34"/>
        <v>150000</v>
      </c>
      <c r="U71" s="191">
        <f t="shared" si="35"/>
        <v>150000</v>
      </c>
      <c r="V71" s="191">
        <f t="shared" si="36"/>
        <v>426000</v>
      </c>
      <c r="W71" s="191">
        <f t="shared" si="37"/>
        <v>426000</v>
      </c>
      <c r="X71" s="191">
        <f t="shared" si="38"/>
        <v>426000</v>
      </c>
      <c r="Y71" s="191">
        <f t="shared" si="39"/>
        <v>426000</v>
      </c>
      <c r="Z71" s="191">
        <f t="shared" si="40"/>
        <v>426000</v>
      </c>
      <c r="AA71" s="191">
        <f>+SUM(AA72:AA75)</f>
        <v>509600</v>
      </c>
    </row>
    <row r="72" spans="16:27" ht="27" x14ac:dyDescent="0.9">
      <c r="P72" s="137" t="s">
        <v>218</v>
      </c>
      <c r="Q72" s="183">
        <f t="shared" si="31"/>
        <v>150000</v>
      </c>
      <c r="R72" s="183">
        <f t="shared" si="32"/>
        <v>150000</v>
      </c>
      <c r="S72" s="183">
        <f t="shared" si="33"/>
        <v>150000</v>
      </c>
      <c r="T72" s="183">
        <f t="shared" si="34"/>
        <v>150000</v>
      </c>
      <c r="U72" s="183">
        <f t="shared" si="35"/>
        <v>150000</v>
      </c>
      <c r="V72" s="183">
        <f t="shared" si="36"/>
        <v>150000</v>
      </c>
      <c r="W72" s="183">
        <f t="shared" si="37"/>
        <v>150000</v>
      </c>
      <c r="X72" s="183">
        <f t="shared" si="38"/>
        <v>150000</v>
      </c>
      <c r="Y72" s="183">
        <f t="shared" si="39"/>
        <v>150000</v>
      </c>
      <c r="Z72" s="183">
        <f t="shared" si="40"/>
        <v>150000</v>
      </c>
      <c r="AA72" s="183">
        <f t="shared" si="41"/>
        <v>150000</v>
      </c>
    </row>
    <row r="73" spans="16:27" ht="27" x14ac:dyDescent="0.9">
      <c r="P73" s="137" t="s">
        <v>299</v>
      </c>
      <c r="Q73" s="183">
        <f t="shared" si="31"/>
        <v>216000</v>
      </c>
      <c r="R73" s="183">
        <f t="shared" si="32"/>
        <v>0</v>
      </c>
      <c r="S73" s="183">
        <f t="shared" si="33"/>
        <v>0</v>
      </c>
      <c r="T73" s="183">
        <f t="shared" si="34"/>
        <v>0</v>
      </c>
      <c r="U73" s="183">
        <f t="shared" si="35"/>
        <v>0</v>
      </c>
      <c r="V73" s="183">
        <f t="shared" si="36"/>
        <v>216000</v>
      </c>
      <c r="W73" s="183">
        <f t="shared" si="37"/>
        <v>216000</v>
      </c>
      <c r="X73" s="183">
        <f t="shared" si="38"/>
        <v>216000</v>
      </c>
      <c r="Y73" s="183">
        <f t="shared" si="39"/>
        <v>216000</v>
      </c>
      <c r="Z73" s="183">
        <f t="shared" si="40"/>
        <v>216000</v>
      </c>
      <c r="AA73" s="183">
        <f t="shared" si="41"/>
        <v>129600</v>
      </c>
    </row>
    <row r="74" spans="16:27" ht="27" x14ac:dyDescent="0.9">
      <c r="P74" s="137" t="s">
        <v>300</v>
      </c>
      <c r="Q74" s="183">
        <f t="shared" si="31"/>
        <v>200000</v>
      </c>
      <c r="R74" s="183">
        <f t="shared" si="32"/>
        <v>0</v>
      </c>
      <c r="S74" s="183">
        <f t="shared" si="33"/>
        <v>0</v>
      </c>
      <c r="T74" s="183">
        <f t="shared" si="34"/>
        <v>0</v>
      </c>
      <c r="U74" s="183">
        <f t="shared" si="35"/>
        <v>0</v>
      </c>
      <c r="V74" s="183">
        <f t="shared" si="36"/>
        <v>0</v>
      </c>
      <c r="W74" s="183">
        <f t="shared" si="37"/>
        <v>0</v>
      </c>
      <c r="X74" s="183">
        <f t="shared" si="38"/>
        <v>0</v>
      </c>
      <c r="Y74" s="183">
        <f t="shared" si="39"/>
        <v>0</v>
      </c>
      <c r="Z74" s="183">
        <f t="shared" si="40"/>
        <v>0</v>
      </c>
      <c r="AA74" s="183">
        <f>+Q74</f>
        <v>200000</v>
      </c>
    </row>
    <row r="75" spans="16:27" ht="27" x14ac:dyDescent="0.9">
      <c r="P75" s="137" t="s">
        <v>305</v>
      </c>
      <c r="Q75" s="183">
        <f t="shared" si="31"/>
        <v>0</v>
      </c>
      <c r="R75" s="183">
        <f t="shared" si="32"/>
        <v>0</v>
      </c>
      <c r="S75" s="183">
        <f t="shared" si="33"/>
        <v>0</v>
      </c>
      <c r="T75" s="183">
        <f t="shared" si="34"/>
        <v>0</v>
      </c>
      <c r="U75" s="183">
        <f t="shared" si="35"/>
        <v>0</v>
      </c>
      <c r="V75" s="183">
        <f t="shared" si="36"/>
        <v>60000</v>
      </c>
      <c r="W75" s="183">
        <f t="shared" si="37"/>
        <v>60000</v>
      </c>
      <c r="X75" s="183">
        <f t="shared" si="38"/>
        <v>60000</v>
      </c>
      <c r="Y75" s="183">
        <f t="shared" si="39"/>
        <v>60000</v>
      </c>
      <c r="Z75" s="183">
        <f t="shared" si="40"/>
        <v>60000</v>
      </c>
      <c r="AA75" s="183">
        <f t="shared" si="41"/>
        <v>30000</v>
      </c>
    </row>
    <row r="76" spans="16:27" ht="27" x14ac:dyDescent="0.9">
      <c r="P76" s="137" t="s">
        <v>226</v>
      </c>
      <c r="Q76" s="183">
        <f t="shared" si="31"/>
        <v>1000</v>
      </c>
      <c r="R76" s="183">
        <f t="shared" si="32"/>
        <v>1000</v>
      </c>
      <c r="S76" s="183">
        <f t="shared" si="33"/>
        <v>1000</v>
      </c>
      <c r="T76" s="183">
        <f t="shared" si="34"/>
        <v>1000</v>
      </c>
      <c r="U76" s="183">
        <f t="shared" si="35"/>
        <v>1000</v>
      </c>
      <c r="V76" s="183">
        <f t="shared" si="36"/>
        <v>1000</v>
      </c>
      <c r="W76" s="183">
        <f t="shared" si="37"/>
        <v>1000</v>
      </c>
      <c r="X76" s="183">
        <f t="shared" si="38"/>
        <v>1000</v>
      </c>
      <c r="Y76" s="183">
        <f t="shared" si="39"/>
        <v>1000</v>
      </c>
      <c r="Z76" s="183">
        <f t="shared" si="40"/>
        <v>1000</v>
      </c>
      <c r="AA76" s="183">
        <f t="shared" si="41"/>
        <v>1000</v>
      </c>
    </row>
    <row r="77" spans="16:27" ht="27" x14ac:dyDescent="0.9">
      <c r="P77" s="137" t="s">
        <v>231</v>
      </c>
      <c r="Q77" s="183">
        <f t="shared" si="31"/>
        <v>60000</v>
      </c>
      <c r="R77" s="183">
        <f t="shared" si="32"/>
        <v>60000</v>
      </c>
      <c r="S77" s="183">
        <f t="shared" si="33"/>
        <v>60000</v>
      </c>
      <c r="T77" s="183">
        <f t="shared" si="34"/>
        <v>60000</v>
      </c>
      <c r="U77" s="183">
        <f t="shared" si="35"/>
        <v>60000</v>
      </c>
      <c r="V77" s="183">
        <f t="shared" si="36"/>
        <v>60000</v>
      </c>
      <c r="W77" s="183">
        <f t="shared" si="37"/>
        <v>60000</v>
      </c>
      <c r="X77" s="183">
        <f t="shared" si="38"/>
        <v>60000</v>
      </c>
      <c r="Y77" s="183">
        <f t="shared" si="39"/>
        <v>60000</v>
      </c>
      <c r="Z77" s="183">
        <f t="shared" si="40"/>
        <v>60000</v>
      </c>
      <c r="AA77" s="183">
        <f t="shared" si="41"/>
        <v>60000</v>
      </c>
    </row>
    <row r="78" spans="16:27" ht="27" x14ac:dyDescent="0.9">
      <c r="P78" s="137" t="s">
        <v>234</v>
      </c>
      <c r="Q78" s="183">
        <f t="shared" si="31"/>
        <v>26650</v>
      </c>
      <c r="R78" s="183">
        <f t="shared" si="32"/>
        <v>26650</v>
      </c>
      <c r="S78" s="183">
        <f t="shared" si="33"/>
        <v>26650</v>
      </c>
      <c r="T78" s="183">
        <f t="shared" si="34"/>
        <v>26650</v>
      </c>
      <c r="U78" s="183">
        <f t="shared" si="35"/>
        <v>26650</v>
      </c>
      <c r="V78" s="183">
        <f t="shared" si="36"/>
        <v>26650</v>
      </c>
      <c r="W78" s="183">
        <f t="shared" si="37"/>
        <v>26650</v>
      </c>
      <c r="X78" s="183">
        <f t="shared" si="38"/>
        <v>26650</v>
      </c>
      <c r="Y78" s="183">
        <f t="shared" si="39"/>
        <v>26650</v>
      </c>
      <c r="Z78" s="183">
        <f t="shared" si="40"/>
        <v>26650</v>
      </c>
      <c r="AA78" s="183">
        <f t="shared" si="41"/>
        <v>26650</v>
      </c>
    </row>
    <row r="79" spans="16:27" ht="27" x14ac:dyDescent="0.9">
      <c r="P79" s="137" t="s">
        <v>237</v>
      </c>
      <c r="Q79" s="183">
        <f t="shared" si="31"/>
        <v>498.48750000000001</v>
      </c>
      <c r="R79" s="183">
        <f t="shared" si="32"/>
        <v>368.73750000000001</v>
      </c>
      <c r="S79" s="183">
        <f t="shared" si="33"/>
        <v>368.73750000000001</v>
      </c>
      <c r="T79" s="183">
        <f t="shared" si="34"/>
        <v>368.73750000000001</v>
      </c>
      <c r="U79" s="183">
        <f t="shared" si="35"/>
        <v>368.73750000000001</v>
      </c>
      <c r="V79" s="183">
        <f t="shared" si="36"/>
        <v>632.73750000000007</v>
      </c>
      <c r="W79" s="183">
        <f t="shared" si="37"/>
        <v>632.73750000000007</v>
      </c>
      <c r="X79" s="183">
        <f t="shared" si="38"/>
        <v>632.73750000000007</v>
      </c>
      <c r="Y79" s="183">
        <f t="shared" si="39"/>
        <v>632.73750000000007</v>
      </c>
      <c r="Z79" s="183">
        <f t="shared" si="40"/>
        <v>632.73750000000007</v>
      </c>
      <c r="AA79" s="183">
        <f t="shared" si="41"/>
        <v>513.71250000000009</v>
      </c>
    </row>
    <row r="80" spans="16:27" ht="27" x14ac:dyDescent="0.9">
      <c r="P80" s="186" t="s">
        <v>149</v>
      </c>
      <c r="Q80" s="187">
        <f t="shared" si="31"/>
        <v>4204368.6916666664</v>
      </c>
      <c r="R80" s="187">
        <f t="shared" si="32"/>
        <v>4204368.6916666664</v>
      </c>
      <c r="S80" s="187">
        <f t="shared" si="33"/>
        <v>4204368.6916666664</v>
      </c>
      <c r="T80" s="187">
        <f t="shared" si="34"/>
        <v>4204368.6916666664</v>
      </c>
      <c r="U80" s="187">
        <f t="shared" si="35"/>
        <v>4204368.6916666664</v>
      </c>
      <c r="V80" s="187">
        <f t="shared" si="36"/>
        <v>4204368.6916666664</v>
      </c>
      <c r="W80" s="187">
        <f t="shared" si="37"/>
        <v>4204368.6916666664</v>
      </c>
      <c r="X80" s="187">
        <f t="shared" si="38"/>
        <v>4204368.6916666664</v>
      </c>
      <c r="Y80" s="187">
        <f t="shared" si="39"/>
        <v>4204368.6916666664</v>
      </c>
      <c r="Z80" s="187">
        <f t="shared" si="40"/>
        <v>4204368.6916666664</v>
      </c>
      <c r="AA80" s="187">
        <f t="shared" si="41"/>
        <v>4204368.6916666655</v>
      </c>
    </row>
    <row r="81" spans="16:27" ht="27" x14ac:dyDescent="0.9">
      <c r="P81" s="137" t="s">
        <v>241</v>
      </c>
      <c r="Q81" s="183">
        <f t="shared" si="31"/>
        <v>4003000</v>
      </c>
      <c r="R81" s="183">
        <f t="shared" si="32"/>
        <v>4003000</v>
      </c>
      <c r="S81" s="183">
        <f t="shared" si="33"/>
        <v>4003000</v>
      </c>
      <c r="T81" s="183">
        <f t="shared" si="34"/>
        <v>4003000</v>
      </c>
      <c r="U81" s="183">
        <f t="shared" si="35"/>
        <v>4003000</v>
      </c>
      <c r="V81" s="183">
        <f t="shared" si="36"/>
        <v>4003000</v>
      </c>
      <c r="W81" s="183">
        <f t="shared" si="37"/>
        <v>4003000</v>
      </c>
      <c r="X81" s="183">
        <f t="shared" si="38"/>
        <v>4003000</v>
      </c>
      <c r="Y81" s="183">
        <f t="shared" si="39"/>
        <v>4003000</v>
      </c>
      <c r="Z81" s="183">
        <f t="shared" si="40"/>
        <v>4003000</v>
      </c>
      <c r="AA81" s="183">
        <f t="shared" si="41"/>
        <v>4003000</v>
      </c>
    </row>
    <row r="82" spans="16:27" ht="27" x14ac:dyDescent="0.9">
      <c r="P82" s="137" t="s">
        <v>152</v>
      </c>
      <c r="Q82" s="183">
        <f t="shared" si="31"/>
        <v>147562.66666666666</v>
      </c>
      <c r="R82" s="183">
        <f t="shared" si="32"/>
        <v>147562.66666666666</v>
      </c>
      <c r="S82" s="183">
        <f t="shared" si="33"/>
        <v>147562.66666666666</v>
      </c>
      <c r="T82" s="183">
        <f t="shared" si="34"/>
        <v>147562.66666666666</v>
      </c>
      <c r="U82" s="183">
        <f t="shared" si="35"/>
        <v>147562.66666666666</v>
      </c>
      <c r="V82" s="183">
        <f t="shared" si="36"/>
        <v>147562.66666666666</v>
      </c>
      <c r="W82" s="183">
        <f t="shared" si="37"/>
        <v>147562.66666666666</v>
      </c>
      <c r="X82" s="183">
        <f t="shared" si="38"/>
        <v>147562.66666666666</v>
      </c>
      <c r="Y82" s="183">
        <f t="shared" si="39"/>
        <v>147562.66666666666</v>
      </c>
      <c r="Z82" s="183">
        <f t="shared" si="40"/>
        <v>147562.66666666666</v>
      </c>
      <c r="AA82" s="183">
        <f t="shared" si="41"/>
        <v>147562.66666666669</v>
      </c>
    </row>
    <row r="83" spans="16:27" ht="27" x14ac:dyDescent="0.9">
      <c r="P83" s="137" t="s">
        <v>153</v>
      </c>
      <c r="Q83" s="183">
        <f t="shared" si="31"/>
        <v>53806.025000000001</v>
      </c>
      <c r="R83" s="183">
        <f t="shared" si="32"/>
        <v>53806.025000000001</v>
      </c>
      <c r="S83" s="183">
        <f t="shared" si="33"/>
        <v>53806.025000000001</v>
      </c>
      <c r="T83" s="183">
        <f t="shared" si="34"/>
        <v>53806.025000000001</v>
      </c>
      <c r="U83" s="183">
        <f t="shared" si="35"/>
        <v>53806.025000000001</v>
      </c>
      <c r="V83" s="183">
        <f t="shared" si="36"/>
        <v>53806.025000000001</v>
      </c>
      <c r="W83" s="183">
        <f t="shared" si="37"/>
        <v>53806.025000000001</v>
      </c>
      <c r="X83" s="183">
        <f t="shared" si="38"/>
        <v>53806.025000000001</v>
      </c>
      <c r="Y83" s="183">
        <f t="shared" si="39"/>
        <v>53806.025000000001</v>
      </c>
      <c r="Z83" s="183">
        <f t="shared" si="40"/>
        <v>53806.025000000001</v>
      </c>
      <c r="AA83" s="183">
        <f t="shared" si="41"/>
        <v>53806.025000000009</v>
      </c>
    </row>
    <row r="84" spans="16:27" ht="27" x14ac:dyDescent="0.9">
      <c r="P84" s="152" t="s">
        <v>253</v>
      </c>
      <c r="Q84" s="188">
        <f t="shared" si="31"/>
        <v>5019517.1791666662</v>
      </c>
      <c r="R84" s="188">
        <f t="shared" si="32"/>
        <v>4846387.4291666662</v>
      </c>
      <c r="S84" s="188">
        <f t="shared" si="33"/>
        <v>4846387.4291666662</v>
      </c>
      <c r="T84" s="188">
        <f t="shared" si="34"/>
        <v>4846387.4291666662</v>
      </c>
      <c r="U84" s="188">
        <f t="shared" si="35"/>
        <v>4846387.4291666662</v>
      </c>
      <c r="V84" s="188">
        <f t="shared" si="36"/>
        <v>5198651.4291666662</v>
      </c>
      <c r="W84" s="188">
        <f t="shared" si="37"/>
        <v>5198651.4291666662</v>
      </c>
      <c r="X84" s="188">
        <f t="shared" si="38"/>
        <v>5198651.4291666662</v>
      </c>
      <c r="Y84" s="188">
        <f t="shared" si="39"/>
        <v>5198651.4291666662</v>
      </c>
      <c r="Z84" s="188">
        <f t="shared" si="40"/>
        <v>5198651.4291666662</v>
      </c>
      <c r="AA84" s="188">
        <f>+AA64+AA80</f>
        <v>5195532.4041666659</v>
      </c>
    </row>
    <row r="85" spans="16:27" ht="27" x14ac:dyDescent="0.9">
      <c r="P85" s="134" t="s">
        <v>256</v>
      </c>
      <c r="Q85" s="93"/>
      <c r="R85" s="93"/>
      <c r="S85" s="93"/>
      <c r="T85" s="93"/>
      <c r="U85" s="93"/>
      <c r="V85" s="183">
        <f>+V84/$H$5</f>
        <v>6498.3142864583324</v>
      </c>
      <c r="W85" s="183">
        <f>+W84/$H$5</f>
        <v>6498.3142864583324</v>
      </c>
      <c r="X85" s="183">
        <f t="shared" ref="X85:Z85" si="42">+X84/$H$5</f>
        <v>6498.3142864583324</v>
      </c>
      <c r="Y85" s="183">
        <f t="shared" si="42"/>
        <v>6498.3142864583324</v>
      </c>
      <c r="Z85" s="183">
        <f t="shared" si="42"/>
        <v>6498.3142864583324</v>
      </c>
      <c r="AA85" s="183">
        <f>+AA84/H5</f>
        <v>6494.4155052083324</v>
      </c>
    </row>
    <row r="86" spans="16:27" ht="27" x14ac:dyDescent="0.9">
      <c r="P86" s="134" t="s">
        <v>257</v>
      </c>
      <c r="Q86" s="93"/>
      <c r="R86" s="93"/>
      <c r="S86" s="93"/>
      <c r="T86" s="93"/>
      <c r="U86" s="93"/>
      <c r="V86" s="184">
        <f>+V84/$H$8</f>
        <v>30.944353745039681</v>
      </c>
      <c r="W86" s="184">
        <f>+W84/$H$8</f>
        <v>30.944353745039681</v>
      </c>
      <c r="X86" s="184">
        <f t="shared" ref="X86:Z86" si="43">+X84/$H$8</f>
        <v>30.944353745039681</v>
      </c>
      <c r="Y86" s="184">
        <f t="shared" si="43"/>
        <v>30.944353745039681</v>
      </c>
      <c r="Z86" s="184">
        <f t="shared" si="43"/>
        <v>30.944353745039681</v>
      </c>
      <c r="AA86" s="184">
        <f>+AA84/H8</f>
        <v>30.925788120039677</v>
      </c>
    </row>
    <row r="87" spans="16:27" ht="27" x14ac:dyDescent="0.9">
      <c r="P87" s="152" t="s">
        <v>259</v>
      </c>
      <c r="Q87" s="189"/>
      <c r="R87" s="189"/>
      <c r="S87" s="189"/>
      <c r="T87" s="189"/>
      <c r="U87" s="189"/>
      <c r="V87" s="190">
        <f>+H8*H16</f>
        <v>21000000</v>
      </c>
      <c r="W87" s="190">
        <f>+$H$8*$H$16</f>
        <v>21000000</v>
      </c>
      <c r="X87" s="190">
        <f t="shared" ref="X87:AA87" si="44">+$H$8*$H$16</f>
        <v>21000000</v>
      </c>
      <c r="Y87" s="190">
        <f t="shared" si="44"/>
        <v>21000000</v>
      </c>
      <c r="Z87" s="190">
        <f t="shared" si="44"/>
        <v>21000000</v>
      </c>
      <c r="AA87" s="190">
        <f t="shared" si="44"/>
        <v>21000000</v>
      </c>
    </row>
    <row r="88" spans="16:27" ht="27" x14ac:dyDescent="0.9">
      <c r="P88" s="137" t="s">
        <v>261</v>
      </c>
      <c r="Q88" s="93"/>
      <c r="R88" s="93"/>
      <c r="S88" s="93"/>
      <c r="T88" s="93"/>
      <c r="U88" s="93"/>
      <c r="V88" s="185">
        <f>+Y51</f>
        <v>20153350</v>
      </c>
      <c r="W88" s="185">
        <f>V88</f>
        <v>20153350</v>
      </c>
      <c r="X88" s="185">
        <f t="shared" ref="X88:Z88" si="45">W88</f>
        <v>20153350</v>
      </c>
      <c r="Y88" s="185">
        <f t="shared" si="45"/>
        <v>20153350</v>
      </c>
      <c r="Z88" s="185">
        <f t="shared" si="45"/>
        <v>20153350</v>
      </c>
      <c r="AA88" s="185">
        <f>+Z88+AA66+AA67+AA74</f>
        <v>20422350</v>
      </c>
    </row>
    <row r="89" spans="16:27" ht="27" x14ac:dyDescent="0.9">
      <c r="P89" s="137" t="s">
        <v>263</v>
      </c>
      <c r="Q89" s="93"/>
      <c r="R89" s="93"/>
      <c r="S89" s="93"/>
      <c r="T89" s="93"/>
      <c r="U89" s="93"/>
      <c r="V89" s="185">
        <f>+V87-V64</f>
        <v>20005717.262499999</v>
      </c>
      <c r="W89" s="185">
        <f t="shared" ref="W89:Z89" si="46">+W87-W64</f>
        <v>20005717.262499999</v>
      </c>
      <c r="X89" s="185">
        <f t="shared" si="46"/>
        <v>20005717.262499999</v>
      </c>
      <c r="Y89" s="185">
        <f t="shared" si="46"/>
        <v>20005717.262499999</v>
      </c>
      <c r="Z89" s="185">
        <f t="shared" si="46"/>
        <v>20005717.262499999</v>
      </c>
      <c r="AA89" s="185">
        <f>+AA87-AA64</f>
        <v>20008836.287500001</v>
      </c>
    </row>
    <row r="90" spans="16:27" ht="27" x14ac:dyDescent="0.9">
      <c r="P90" s="137" t="s">
        <v>264</v>
      </c>
      <c r="Q90" s="93"/>
      <c r="R90" s="93"/>
      <c r="S90" s="93"/>
      <c r="T90" s="93"/>
      <c r="U90" s="93"/>
      <c r="V90" s="185">
        <f>+V87-V84</f>
        <v>15801348.570833333</v>
      </c>
      <c r="W90" s="185">
        <f t="shared" ref="W90:AA90" si="47">+W87-W84</f>
        <v>15801348.570833333</v>
      </c>
      <c r="X90" s="185">
        <f t="shared" si="47"/>
        <v>15801348.570833333</v>
      </c>
      <c r="Y90" s="185">
        <f t="shared" si="47"/>
        <v>15801348.570833333</v>
      </c>
      <c r="Z90" s="185">
        <f t="shared" si="47"/>
        <v>15801348.570833333</v>
      </c>
      <c r="AA90" s="185">
        <f t="shared" si="47"/>
        <v>15804467.595833335</v>
      </c>
    </row>
    <row r="91" spans="16:27" ht="27" x14ac:dyDescent="0.9">
      <c r="P91" s="137" t="s">
        <v>266</v>
      </c>
      <c r="Q91" s="93"/>
      <c r="R91" s="93"/>
      <c r="S91" s="93"/>
      <c r="T91" s="93"/>
      <c r="U91" s="93"/>
      <c r="V91" s="185">
        <f>+V88/$H$5</f>
        <v>25191.6875</v>
      </c>
      <c r="W91" s="185">
        <f t="shared" ref="W91:AA91" si="48">+W88/$H$5</f>
        <v>25191.6875</v>
      </c>
      <c r="X91" s="185">
        <f t="shared" si="48"/>
        <v>25191.6875</v>
      </c>
      <c r="Y91" s="185">
        <f t="shared" si="48"/>
        <v>25191.6875</v>
      </c>
      <c r="Z91" s="185">
        <f t="shared" si="48"/>
        <v>25191.6875</v>
      </c>
      <c r="AA91" s="185">
        <f t="shared" si="48"/>
        <v>25527.9375</v>
      </c>
    </row>
    <row r="92" spans="16:27" ht="27" x14ac:dyDescent="0.9">
      <c r="P92" s="137" t="s">
        <v>269</v>
      </c>
      <c r="Q92" s="93"/>
      <c r="R92" s="93"/>
      <c r="S92" s="93"/>
      <c r="T92" s="93"/>
      <c r="U92" s="93"/>
      <c r="V92" s="185">
        <f t="shared" ref="V92:AA93" si="49">+V89/$H$5</f>
        <v>25007.146578125001</v>
      </c>
      <c r="W92" s="185">
        <f t="shared" si="49"/>
        <v>25007.146578125001</v>
      </c>
      <c r="X92" s="185">
        <f t="shared" si="49"/>
        <v>25007.146578125001</v>
      </c>
      <c r="Y92" s="185">
        <f t="shared" si="49"/>
        <v>25007.146578125001</v>
      </c>
      <c r="Z92" s="185">
        <f t="shared" si="49"/>
        <v>25007.146578125001</v>
      </c>
      <c r="AA92" s="185">
        <f t="shared" si="49"/>
        <v>25011.045359375003</v>
      </c>
    </row>
    <row r="93" spans="16:27" ht="27" x14ac:dyDescent="0.9">
      <c r="P93" s="137" t="s">
        <v>270</v>
      </c>
      <c r="Q93" s="93"/>
      <c r="R93" s="93"/>
      <c r="S93" s="93"/>
      <c r="T93" s="93"/>
      <c r="U93" s="93"/>
      <c r="V93" s="185">
        <f t="shared" si="49"/>
        <v>19751.685713541665</v>
      </c>
      <c r="W93" s="185">
        <f t="shared" si="49"/>
        <v>19751.685713541665</v>
      </c>
      <c r="X93" s="185">
        <f t="shared" si="49"/>
        <v>19751.685713541665</v>
      </c>
      <c r="Y93" s="185">
        <f t="shared" si="49"/>
        <v>19751.685713541665</v>
      </c>
      <c r="Z93" s="185">
        <f t="shared" si="49"/>
        <v>19751.685713541665</v>
      </c>
      <c r="AA93" s="185">
        <f t="shared" si="49"/>
        <v>19755.58449479167</v>
      </c>
    </row>
    <row r="94" spans="16:27" ht="27" x14ac:dyDescent="0.9">
      <c r="P94" s="137" t="s">
        <v>271</v>
      </c>
      <c r="Q94" s="93"/>
      <c r="R94" s="93"/>
      <c r="S94" s="93"/>
      <c r="T94" s="93"/>
      <c r="U94" s="93"/>
      <c r="V94" s="185">
        <f>+V88/$H$8</f>
        <v>119.96041666666666</v>
      </c>
      <c r="W94" s="185">
        <f t="shared" ref="W94:AA94" si="50">+W88/$H$8</f>
        <v>119.96041666666666</v>
      </c>
      <c r="X94" s="185">
        <f t="shared" si="50"/>
        <v>119.96041666666666</v>
      </c>
      <c r="Y94" s="185">
        <f t="shared" si="50"/>
        <v>119.96041666666666</v>
      </c>
      <c r="Z94" s="185">
        <f t="shared" si="50"/>
        <v>119.96041666666666</v>
      </c>
      <c r="AA94" s="185">
        <f t="shared" si="50"/>
        <v>121.56160714285714</v>
      </c>
    </row>
    <row r="95" spans="16:27" ht="27" x14ac:dyDescent="0.9">
      <c r="P95" s="137" t="s">
        <v>272</v>
      </c>
      <c r="Q95" s="93"/>
      <c r="R95" s="93"/>
      <c r="S95" s="93"/>
      <c r="T95" s="93"/>
      <c r="U95" s="93"/>
      <c r="V95" s="185">
        <f t="shared" ref="V95:AA96" si="51">+V89/$H$8</f>
        <v>119.0816503720238</v>
      </c>
      <c r="W95" s="185">
        <f t="shared" si="51"/>
        <v>119.0816503720238</v>
      </c>
      <c r="X95" s="185">
        <f t="shared" si="51"/>
        <v>119.0816503720238</v>
      </c>
      <c r="Y95" s="185">
        <f t="shared" si="51"/>
        <v>119.0816503720238</v>
      </c>
      <c r="Z95" s="185">
        <f t="shared" si="51"/>
        <v>119.0816503720238</v>
      </c>
      <c r="AA95" s="185">
        <f t="shared" si="51"/>
        <v>119.10021599702382</v>
      </c>
    </row>
    <row r="96" spans="16:27" ht="27" x14ac:dyDescent="0.9">
      <c r="P96" s="137" t="s">
        <v>273</v>
      </c>
      <c r="Q96" s="93"/>
      <c r="R96" s="93"/>
      <c r="S96" s="93"/>
      <c r="T96" s="93"/>
      <c r="U96" s="93"/>
      <c r="V96" s="185">
        <f t="shared" si="51"/>
        <v>94.055646254960308</v>
      </c>
      <c r="W96" s="185">
        <f t="shared" si="51"/>
        <v>94.055646254960308</v>
      </c>
      <c r="X96" s="185">
        <f t="shared" si="51"/>
        <v>94.055646254960308</v>
      </c>
      <c r="Y96" s="185">
        <f t="shared" si="51"/>
        <v>94.055646254960308</v>
      </c>
      <c r="Z96" s="185">
        <f t="shared" si="51"/>
        <v>94.055646254960308</v>
      </c>
      <c r="AA96" s="185">
        <f t="shared" si="51"/>
        <v>94.07421187996033</v>
      </c>
    </row>
  </sheetData>
  <mergeCells count="4">
    <mergeCell ref="B3:D3"/>
    <mergeCell ref="Q25:S25"/>
    <mergeCell ref="T25:V25"/>
    <mergeCell ref="W25:Y25"/>
  </mergeCells>
  <phoneticPr fontId="3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4F9A0-36F5-4F03-ADBB-6307CF836C05}">
  <dimension ref="A1:T37"/>
  <sheetViews>
    <sheetView topLeftCell="A10" workbookViewId="0">
      <selection activeCell="B29" sqref="B29:B31"/>
    </sheetView>
  </sheetViews>
  <sheetFormatPr defaultRowHeight="15.5" x14ac:dyDescent="0.35"/>
  <cols>
    <col min="1" max="1" width="26.33203125" customWidth="1"/>
    <col min="2" max="2" width="9.75" bestFit="1" customWidth="1"/>
    <col min="5" max="5" width="10.83203125" customWidth="1"/>
    <col min="7" max="7" width="11.5" customWidth="1"/>
    <col min="8" max="8" width="20.5" customWidth="1"/>
  </cols>
  <sheetData>
    <row r="1" spans="1:20" s="93" customFormat="1" ht="27.5" thickBot="1" x14ac:dyDescent="0.95">
      <c r="A1" s="94" t="s">
        <v>274</v>
      </c>
      <c r="T1" s="93" t="s">
        <v>248</v>
      </c>
    </row>
    <row r="2" spans="1:20" ht="36" x14ac:dyDescent="0.6">
      <c r="A2" s="202" t="s">
        <v>97</v>
      </c>
      <c r="B2" s="19" t="s">
        <v>98</v>
      </c>
      <c r="C2" s="19" t="s">
        <v>99</v>
      </c>
      <c r="D2" s="19" t="s">
        <v>100</v>
      </c>
      <c r="E2" s="204" t="s">
        <v>101</v>
      </c>
      <c r="H2" s="86" t="s">
        <v>97</v>
      </c>
      <c r="I2" s="87" t="s">
        <v>102</v>
      </c>
      <c r="J2" s="87" t="s">
        <v>103</v>
      </c>
      <c r="K2" s="87" t="s">
        <v>104</v>
      </c>
      <c r="L2" s="87" t="s">
        <v>105</v>
      </c>
      <c r="M2" s="87" t="s">
        <v>106</v>
      </c>
      <c r="N2" s="87" t="s">
        <v>107</v>
      </c>
      <c r="O2" s="87" t="s">
        <v>108</v>
      </c>
      <c r="P2" s="88" t="s">
        <v>109</v>
      </c>
      <c r="Q2" s="88" t="s">
        <v>110</v>
      </c>
      <c r="R2" s="88" t="s">
        <v>111</v>
      </c>
      <c r="S2" s="89" t="s">
        <v>112</v>
      </c>
      <c r="T2" s="89" t="s">
        <v>113</v>
      </c>
    </row>
    <row r="3" spans="1:20" ht="24.5" thickBot="1" x14ac:dyDescent="0.85">
      <c r="A3" s="203"/>
      <c r="B3" s="20" t="s">
        <v>114</v>
      </c>
      <c r="C3" s="20" t="s">
        <v>114</v>
      </c>
      <c r="D3" s="20" t="s">
        <v>114</v>
      </c>
      <c r="E3" s="205"/>
      <c r="H3" s="69" t="s">
        <v>275</v>
      </c>
      <c r="I3" s="70">
        <v>4</v>
      </c>
      <c r="J3" s="70" t="s">
        <v>276</v>
      </c>
      <c r="K3" s="71">
        <v>7000</v>
      </c>
      <c r="L3" s="72">
        <f>I3*K3</f>
        <v>28000</v>
      </c>
      <c r="M3" s="70">
        <v>20</v>
      </c>
      <c r="N3" s="73">
        <v>500</v>
      </c>
      <c r="O3" s="70">
        <v>1</v>
      </c>
      <c r="P3" s="74">
        <f>((L3/M3)+N3)*O3</f>
        <v>1900</v>
      </c>
      <c r="Q3" s="74">
        <f>(L3+N3)/2</f>
        <v>14250</v>
      </c>
      <c r="R3" s="75">
        <f>+Q3*O3</f>
        <v>14250</v>
      </c>
      <c r="S3" s="74">
        <v>500</v>
      </c>
      <c r="T3" s="74">
        <f>+S3*O3</f>
        <v>500</v>
      </c>
    </row>
    <row r="4" spans="1:20" ht="30.65" customHeight="1" thickBot="1" x14ac:dyDescent="0.85">
      <c r="A4" s="21" t="s">
        <v>117</v>
      </c>
      <c r="B4" s="22">
        <f>+B5+B9+B12+B17</f>
        <v>277425</v>
      </c>
      <c r="C4" s="22">
        <f>+C5+C9+C12+C17</f>
        <v>21994.92</v>
      </c>
      <c r="D4" s="22">
        <f>B4+C4</f>
        <v>299419.92</v>
      </c>
      <c r="E4" s="32">
        <f>D4/$D$23%</f>
        <v>95.814858839926288</v>
      </c>
      <c r="H4" s="76" t="s">
        <v>277</v>
      </c>
      <c r="I4" s="77">
        <v>2</v>
      </c>
      <c r="J4" s="77" t="s">
        <v>278</v>
      </c>
      <c r="K4" s="78">
        <v>2500</v>
      </c>
      <c r="L4" s="72">
        <f t="shared" ref="L4:L9" si="0">I4*K4</f>
        <v>5000</v>
      </c>
      <c r="M4" s="70">
        <v>5</v>
      </c>
      <c r="N4" s="73">
        <v>0</v>
      </c>
      <c r="O4" s="70">
        <v>1</v>
      </c>
      <c r="P4" s="74">
        <f>((L4/M4)+N4)*O4</f>
        <v>1000</v>
      </c>
      <c r="Q4" s="74">
        <f>(L4+N4)/2</f>
        <v>2500</v>
      </c>
      <c r="R4" s="75">
        <f t="shared" ref="R4:R9" si="1">+Q4*O4</f>
        <v>2500</v>
      </c>
      <c r="S4" s="71">
        <v>0</v>
      </c>
      <c r="T4" s="74">
        <f t="shared" ref="T4:T9" si="2">+S4*O4</f>
        <v>0</v>
      </c>
    </row>
    <row r="5" spans="1:20" ht="25" customHeight="1" thickBot="1" x14ac:dyDescent="0.85">
      <c r="A5" s="30" t="s">
        <v>118</v>
      </c>
      <c r="B5" s="31">
        <f>SUM(B6:B8)</f>
        <v>272000</v>
      </c>
      <c r="C5" s="31">
        <f>SUM(C6:C8)</f>
        <v>0</v>
      </c>
      <c r="D5" s="31">
        <f>SUM(D6:D8)</f>
        <v>78000</v>
      </c>
      <c r="E5" s="32">
        <f>D5/$D$23%</f>
        <v>24.960126198398061</v>
      </c>
      <c r="H5" s="76" t="s">
        <v>279</v>
      </c>
      <c r="I5" s="77">
        <v>1</v>
      </c>
      <c r="J5" s="77" t="s">
        <v>278</v>
      </c>
      <c r="K5" s="78">
        <v>12000</v>
      </c>
      <c r="L5" s="72">
        <f t="shared" si="0"/>
        <v>12000</v>
      </c>
      <c r="M5" s="70">
        <v>10</v>
      </c>
      <c r="N5" s="73">
        <v>300</v>
      </c>
      <c r="O5" s="70">
        <v>1</v>
      </c>
      <c r="P5" s="74">
        <f t="shared" ref="P5:P9" si="3">((L5/M5)+N5)*O5</f>
        <v>1500</v>
      </c>
      <c r="Q5" s="74">
        <f t="shared" ref="Q5:Q9" si="4">(L5+N5)/2</f>
        <v>6150</v>
      </c>
      <c r="R5" s="75">
        <f t="shared" si="1"/>
        <v>6150</v>
      </c>
      <c r="S5" s="71">
        <v>350</v>
      </c>
      <c r="T5" s="74">
        <f t="shared" si="2"/>
        <v>350</v>
      </c>
    </row>
    <row r="6" spans="1:20" ht="24.5" thickBot="1" x14ac:dyDescent="0.85">
      <c r="A6" s="24" t="s">
        <v>280</v>
      </c>
      <c r="B6" s="25">
        <f>1700*F28</f>
        <v>68000</v>
      </c>
      <c r="C6" s="26"/>
      <c r="D6" s="25">
        <f t="shared" ref="D6:D26" si="5">B6+C6</f>
        <v>68000</v>
      </c>
      <c r="E6" s="29">
        <f>D6/$D$23%</f>
        <v>21.760110019116258</v>
      </c>
      <c r="H6" s="79" t="s">
        <v>281</v>
      </c>
      <c r="I6" s="77">
        <v>1</v>
      </c>
      <c r="J6" s="77" t="s">
        <v>278</v>
      </c>
      <c r="K6" s="80">
        <v>3000</v>
      </c>
      <c r="L6" s="72">
        <f t="shared" si="0"/>
        <v>3000</v>
      </c>
      <c r="M6" s="70">
        <v>5</v>
      </c>
      <c r="N6" s="73">
        <v>0</v>
      </c>
      <c r="O6" s="70">
        <v>1</v>
      </c>
      <c r="P6" s="74">
        <f t="shared" si="3"/>
        <v>600</v>
      </c>
      <c r="Q6" s="74">
        <f t="shared" si="4"/>
        <v>1500</v>
      </c>
      <c r="R6" s="75">
        <f t="shared" si="1"/>
        <v>1500</v>
      </c>
      <c r="S6" s="71">
        <v>50</v>
      </c>
      <c r="T6" s="74">
        <f t="shared" si="2"/>
        <v>50</v>
      </c>
    </row>
    <row r="7" spans="1:20" ht="24.5" thickBot="1" x14ac:dyDescent="0.85">
      <c r="A7" s="24" t="s">
        <v>282</v>
      </c>
      <c r="B7" s="25">
        <f>4850*F28</f>
        <v>194000</v>
      </c>
      <c r="C7" s="26"/>
      <c r="D7" s="25"/>
      <c r="E7" s="29"/>
      <c r="H7" s="82" t="s">
        <v>283</v>
      </c>
      <c r="I7" s="81">
        <v>1</v>
      </c>
      <c r="J7" s="81" t="s">
        <v>284</v>
      </c>
      <c r="K7" s="83">
        <v>3600</v>
      </c>
      <c r="L7" s="72">
        <f t="shared" si="0"/>
        <v>3600</v>
      </c>
      <c r="M7" s="70">
        <v>5</v>
      </c>
      <c r="N7" s="73">
        <v>300</v>
      </c>
      <c r="O7" s="70">
        <v>1</v>
      </c>
      <c r="P7" s="74">
        <f t="shared" si="3"/>
        <v>1020</v>
      </c>
      <c r="Q7" s="74">
        <f t="shared" si="4"/>
        <v>1950</v>
      </c>
      <c r="R7" s="75">
        <f t="shared" si="1"/>
        <v>1950</v>
      </c>
      <c r="S7" s="70">
        <v>50</v>
      </c>
      <c r="T7" s="74">
        <f t="shared" si="2"/>
        <v>50</v>
      </c>
    </row>
    <row r="8" spans="1:20" ht="24.5" thickBot="1" x14ac:dyDescent="0.85">
      <c r="A8" s="24" t="s">
        <v>285</v>
      </c>
      <c r="B8" s="25">
        <f>250*F28</f>
        <v>10000</v>
      </c>
      <c r="C8" s="26"/>
      <c r="D8" s="25">
        <f t="shared" si="5"/>
        <v>10000</v>
      </c>
      <c r="E8" s="29">
        <f t="shared" ref="E8:E19" si="6">D8/$D$23%</f>
        <v>3.2000161792818025</v>
      </c>
      <c r="H8" s="82" t="s">
        <v>225</v>
      </c>
      <c r="I8" s="81">
        <v>1</v>
      </c>
      <c r="J8" s="81" t="s">
        <v>284</v>
      </c>
      <c r="K8" s="83">
        <v>50000</v>
      </c>
      <c r="L8" s="72">
        <f t="shared" si="0"/>
        <v>50000</v>
      </c>
      <c r="M8" s="70">
        <v>10</v>
      </c>
      <c r="N8" s="91">
        <v>7500</v>
      </c>
      <c r="O8" s="70">
        <v>0.2</v>
      </c>
      <c r="P8" s="74">
        <f t="shared" si="3"/>
        <v>2500</v>
      </c>
      <c r="Q8" s="74">
        <f t="shared" si="4"/>
        <v>28750</v>
      </c>
      <c r="R8" s="75">
        <f t="shared" si="1"/>
        <v>5750</v>
      </c>
      <c r="S8" s="75">
        <v>2500</v>
      </c>
      <c r="T8" s="74">
        <f t="shared" si="2"/>
        <v>500</v>
      </c>
    </row>
    <row r="9" spans="1:20" ht="24.5" thickBot="1" x14ac:dyDescent="0.85">
      <c r="A9" s="30" t="s">
        <v>123</v>
      </c>
      <c r="B9" s="31">
        <f>SUM(B10:B11)</f>
        <v>0</v>
      </c>
      <c r="C9" s="31">
        <f>SUM(C10:C11)</f>
        <v>18000</v>
      </c>
      <c r="D9" s="31">
        <f>SUM(D10:D11)</f>
        <v>18000</v>
      </c>
      <c r="E9" s="32">
        <f t="shared" si="6"/>
        <v>5.7600291227072447</v>
      </c>
      <c r="H9" s="69" t="s">
        <v>286</v>
      </c>
      <c r="I9" s="70">
        <v>1</v>
      </c>
      <c r="J9" s="70" t="s">
        <v>284</v>
      </c>
      <c r="K9" s="71">
        <v>750000</v>
      </c>
      <c r="L9" s="72">
        <f t="shared" si="0"/>
        <v>750000</v>
      </c>
      <c r="M9" s="70">
        <v>15</v>
      </c>
      <c r="N9" s="73">
        <v>95000</v>
      </c>
      <c r="O9" s="70">
        <v>0.1</v>
      </c>
      <c r="P9" s="74">
        <f t="shared" si="3"/>
        <v>14500</v>
      </c>
      <c r="Q9" s="74">
        <f t="shared" si="4"/>
        <v>422500</v>
      </c>
      <c r="R9" s="75">
        <f t="shared" si="1"/>
        <v>42250</v>
      </c>
      <c r="S9" s="75">
        <v>20000</v>
      </c>
      <c r="T9" s="74">
        <f t="shared" si="2"/>
        <v>2000</v>
      </c>
    </row>
    <row r="10" spans="1:20" ht="24.5" thickBot="1" x14ac:dyDescent="0.85">
      <c r="A10" s="24" t="s">
        <v>125</v>
      </c>
      <c r="B10" s="26"/>
      <c r="C10" s="25">
        <f>+(2*2*30*4)/8*300</f>
        <v>18000</v>
      </c>
      <c r="D10" s="25">
        <f t="shared" si="5"/>
        <v>18000</v>
      </c>
      <c r="E10" s="29">
        <f t="shared" si="6"/>
        <v>5.7600291227072447</v>
      </c>
      <c r="H10" s="67" t="s">
        <v>124</v>
      </c>
      <c r="I10" s="68"/>
      <c r="J10" s="68"/>
      <c r="K10" s="68"/>
      <c r="L10" s="84">
        <f>SUM(L3:L9)</f>
        <v>851600</v>
      </c>
      <c r="M10" s="68"/>
      <c r="N10" s="68"/>
      <c r="O10" s="68"/>
      <c r="P10" s="85">
        <f>SUM(P3:P9)</f>
        <v>23020</v>
      </c>
      <c r="Q10" s="68"/>
      <c r="R10" s="90">
        <f>SUM(R3:R9)</f>
        <v>74350</v>
      </c>
      <c r="S10" s="90"/>
      <c r="T10" s="90">
        <f>SUM(T3:T9)</f>
        <v>3450</v>
      </c>
    </row>
    <row r="11" spans="1:20" ht="18.5" thickBot="1" x14ac:dyDescent="0.4">
      <c r="A11" s="28" t="s">
        <v>136</v>
      </c>
      <c r="B11" s="25">
        <v>0</v>
      </c>
      <c r="C11" s="26"/>
      <c r="D11" s="25">
        <f t="shared" si="5"/>
        <v>0</v>
      </c>
      <c r="E11" s="29">
        <f t="shared" si="6"/>
        <v>0</v>
      </c>
    </row>
    <row r="12" spans="1:20" ht="21.5" thickBot="1" x14ac:dyDescent="0.75">
      <c r="A12" s="33" t="s">
        <v>142</v>
      </c>
      <c r="B12" s="22">
        <f>+SUM(B13:B16)</f>
        <v>5425</v>
      </c>
      <c r="C12" s="22"/>
      <c r="D12" s="22">
        <f t="shared" ref="D12" si="7">+SUM(D13:D16)</f>
        <v>5425</v>
      </c>
      <c r="E12" s="32">
        <f t="shared" si="6"/>
        <v>1.7360087772603778</v>
      </c>
      <c r="H12" s="63" t="s">
        <v>127</v>
      </c>
      <c r="I12" s="63">
        <v>1.25</v>
      </c>
      <c r="J12" s="63" t="s">
        <v>128</v>
      </c>
      <c r="K12" s="63">
        <f>I12/100*12</f>
        <v>0.15000000000000002</v>
      </c>
      <c r="L12" s="63" t="s">
        <v>129</v>
      </c>
      <c r="M12" s="63"/>
      <c r="N12" s="63"/>
    </row>
    <row r="13" spans="1:20" ht="21.5" thickBot="1" x14ac:dyDescent="0.75">
      <c r="A13" s="28" t="s">
        <v>144</v>
      </c>
      <c r="B13" s="25">
        <f>2000+1700</f>
        <v>3700</v>
      </c>
      <c r="C13" s="26"/>
      <c r="D13" s="25">
        <f t="shared" si="5"/>
        <v>3700</v>
      </c>
      <c r="E13" s="29">
        <f t="shared" si="6"/>
        <v>1.1840059863342669</v>
      </c>
      <c r="H13" s="63" t="s">
        <v>131</v>
      </c>
      <c r="I13" s="63">
        <v>3</v>
      </c>
      <c r="J13" s="63" t="s">
        <v>128</v>
      </c>
      <c r="K13" s="63">
        <f>I13/100*12</f>
        <v>0.36</v>
      </c>
      <c r="L13" s="63" t="s">
        <v>129</v>
      </c>
      <c r="M13" s="63"/>
      <c r="N13" s="63"/>
    </row>
    <row r="14" spans="1:20" ht="21.5" thickBot="1" x14ac:dyDescent="0.75">
      <c r="A14" s="28" t="s">
        <v>146</v>
      </c>
      <c r="B14" s="25">
        <f>+T10/2</f>
        <v>1725</v>
      </c>
      <c r="C14" s="26"/>
      <c r="D14" s="25">
        <f t="shared" si="5"/>
        <v>1725</v>
      </c>
      <c r="E14" s="29">
        <f t="shared" si="6"/>
        <v>0.55200279092611093</v>
      </c>
      <c r="H14" s="63" t="s">
        <v>133</v>
      </c>
      <c r="I14" s="63">
        <v>4</v>
      </c>
      <c r="J14" s="63" t="s">
        <v>134</v>
      </c>
      <c r="K14" s="63"/>
      <c r="L14" s="63"/>
      <c r="M14" s="63"/>
      <c r="N14" s="63"/>
    </row>
    <row r="15" spans="1:20" ht="21.5" thickBot="1" x14ac:dyDescent="0.75">
      <c r="A15" s="28"/>
      <c r="B15" s="25"/>
      <c r="C15" s="26"/>
      <c r="D15" s="25">
        <f t="shared" si="5"/>
        <v>0</v>
      </c>
      <c r="E15" s="29">
        <f t="shared" si="6"/>
        <v>0</v>
      </c>
      <c r="H15" s="63"/>
      <c r="I15" s="63"/>
      <c r="J15" s="63"/>
      <c r="K15" s="63"/>
      <c r="L15" s="63"/>
      <c r="M15" s="63"/>
      <c r="N15" s="63"/>
    </row>
    <row r="16" spans="1:20" ht="18.5" thickBot="1" x14ac:dyDescent="0.4">
      <c r="A16" s="28"/>
      <c r="B16" s="25"/>
      <c r="C16" s="26"/>
      <c r="D16" s="25">
        <f t="shared" si="5"/>
        <v>0</v>
      </c>
      <c r="E16" s="29">
        <f t="shared" si="6"/>
        <v>0</v>
      </c>
    </row>
    <row r="17" spans="1:7" ht="18.5" thickBot="1" x14ac:dyDescent="0.4">
      <c r="A17" s="30" t="s">
        <v>147</v>
      </c>
      <c r="B17" s="34"/>
      <c r="C17" s="35">
        <f>+B4*K13/100*I14</f>
        <v>3994.92</v>
      </c>
      <c r="D17" s="22">
        <f t="shared" si="5"/>
        <v>3994.92</v>
      </c>
      <c r="E17" s="32">
        <f t="shared" si="6"/>
        <v>1.278380863493646</v>
      </c>
    </row>
    <row r="18" spans="1:7" ht="18.5" thickBot="1" x14ac:dyDescent="0.4">
      <c r="A18" s="21" t="s">
        <v>149</v>
      </c>
      <c r="B18" s="22">
        <f>+SUM(B19:B22)</f>
        <v>450</v>
      </c>
      <c r="C18" s="22">
        <f>+SUM(C19:C22)</f>
        <v>12628.5</v>
      </c>
      <c r="D18" s="22">
        <f t="shared" si="5"/>
        <v>13078.5</v>
      </c>
      <c r="E18" s="32">
        <f t="shared" si="6"/>
        <v>4.1851411600737052</v>
      </c>
    </row>
    <row r="19" spans="1:7" ht="18.5" thickBot="1" x14ac:dyDescent="0.4">
      <c r="A19" s="24" t="s">
        <v>287</v>
      </c>
      <c r="B19" s="25"/>
      <c r="C19" s="26">
        <f>1000/2*3/4</f>
        <v>375</v>
      </c>
      <c r="D19" s="25">
        <f t="shared" si="5"/>
        <v>375</v>
      </c>
      <c r="E19" s="29">
        <f t="shared" si="6"/>
        <v>0.1200006067230676</v>
      </c>
    </row>
    <row r="20" spans="1:7" ht="18.5" thickBot="1" x14ac:dyDescent="0.4">
      <c r="A20" s="24" t="s">
        <v>151</v>
      </c>
      <c r="B20" s="26">
        <f>+(700+200)/2</f>
        <v>450</v>
      </c>
      <c r="C20" s="25"/>
      <c r="D20" s="25"/>
      <c r="E20" s="29"/>
    </row>
    <row r="21" spans="1:7" ht="18.5" thickBot="1" x14ac:dyDescent="0.4">
      <c r="A21" s="24" t="s">
        <v>152</v>
      </c>
      <c r="B21" s="26"/>
      <c r="C21" s="25">
        <f>+P10/2</f>
        <v>11510</v>
      </c>
      <c r="D21" s="25">
        <f t="shared" si="5"/>
        <v>11510</v>
      </c>
      <c r="E21" s="29">
        <f>D21/$D$23%</f>
        <v>3.6832186223533547</v>
      </c>
    </row>
    <row r="22" spans="1:7" ht="18.5" thickBot="1" x14ac:dyDescent="0.4">
      <c r="A22" s="24" t="s">
        <v>153</v>
      </c>
      <c r="B22" s="26"/>
      <c r="C22" s="25">
        <f>+R10*(I13/100*4/12)</f>
        <v>743.5</v>
      </c>
      <c r="D22" s="25">
        <f t="shared" si="5"/>
        <v>743.5</v>
      </c>
      <c r="E22" s="29">
        <f>D22/$D$23%</f>
        <v>0.23792120292960203</v>
      </c>
    </row>
    <row r="23" spans="1:7" ht="18.5" thickBot="1" x14ac:dyDescent="0.4">
      <c r="A23" s="21" t="s">
        <v>154</v>
      </c>
      <c r="B23" s="22">
        <f>+B4+B18</f>
        <v>277875</v>
      </c>
      <c r="C23" s="22">
        <f>+C4+C18</f>
        <v>34623.42</v>
      </c>
      <c r="D23" s="22">
        <f t="shared" si="5"/>
        <v>312498.42</v>
      </c>
      <c r="E23" s="32">
        <f>D23/$D$23%</f>
        <v>100</v>
      </c>
    </row>
    <row r="24" spans="1:7" ht="18.5" thickBot="1" x14ac:dyDescent="0.4">
      <c r="A24" s="21" t="s">
        <v>155</v>
      </c>
      <c r="B24" s="22">
        <f>+B25+B26</f>
        <v>316800</v>
      </c>
      <c r="C24" s="22">
        <f>+C25+C26</f>
        <v>0</v>
      </c>
      <c r="D24" s="22">
        <f>SUM(D25:D26)</f>
        <v>316800</v>
      </c>
      <c r="E24" s="23"/>
    </row>
    <row r="25" spans="1:7" ht="18.5" thickBot="1" x14ac:dyDescent="0.4">
      <c r="A25" s="27" t="s">
        <v>288</v>
      </c>
      <c r="B25" s="25">
        <f>+F30*F28*F32</f>
        <v>313600</v>
      </c>
      <c r="C25" s="26"/>
      <c r="D25" s="25">
        <f t="shared" si="5"/>
        <v>313600</v>
      </c>
      <c r="E25" s="23"/>
    </row>
    <row r="26" spans="1:7" ht="18.5" thickBot="1" x14ac:dyDescent="0.4">
      <c r="A26" s="27" t="s">
        <v>289</v>
      </c>
      <c r="B26" s="25">
        <v>3200</v>
      </c>
      <c r="C26" s="26"/>
      <c r="D26" s="25">
        <f t="shared" si="5"/>
        <v>3200</v>
      </c>
      <c r="E26" s="23"/>
    </row>
    <row r="28" spans="1:7" ht="24" x14ac:dyDescent="0.8">
      <c r="A28" s="10"/>
      <c r="B28" s="66" t="s">
        <v>290</v>
      </c>
      <c r="C28" s="66" t="s">
        <v>291</v>
      </c>
      <c r="D28" s="10"/>
      <c r="E28" s="10" t="s">
        <v>102</v>
      </c>
      <c r="F28" s="92">
        <v>40</v>
      </c>
      <c r="G28" t="s">
        <v>292</v>
      </c>
    </row>
    <row r="29" spans="1:7" ht="24" x14ac:dyDescent="0.8">
      <c r="A29" s="10" t="s">
        <v>160</v>
      </c>
      <c r="B29" s="65">
        <f>+D24-B23</f>
        <v>38925</v>
      </c>
      <c r="C29" s="65">
        <f>+B29/$F$28</f>
        <v>973.125</v>
      </c>
      <c r="D29" s="10"/>
      <c r="E29" s="10" t="s">
        <v>161</v>
      </c>
      <c r="F29" s="9">
        <f>+F28*F30</f>
        <v>4480</v>
      </c>
      <c r="G29" s="10" t="s">
        <v>162</v>
      </c>
    </row>
    <row r="30" spans="1:7" ht="24" x14ac:dyDescent="0.8">
      <c r="A30" s="10" t="s">
        <v>163</v>
      </c>
      <c r="B30" s="65">
        <f>+D24-D4</f>
        <v>17380.080000000016</v>
      </c>
      <c r="C30" s="65">
        <f t="shared" ref="C30:C31" si="8">+B30/$F$28</f>
        <v>434.50200000000041</v>
      </c>
      <c r="D30" s="10"/>
      <c r="E30" s="10" t="s">
        <v>164</v>
      </c>
      <c r="F30" s="9">
        <v>112</v>
      </c>
      <c r="G30" s="10" t="s">
        <v>293</v>
      </c>
    </row>
    <row r="31" spans="1:7" ht="24" x14ac:dyDescent="0.8">
      <c r="A31" s="10" t="s">
        <v>166</v>
      </c>
      <c r="B31" s="65">
        <f>+D24-D23</f>
        <v>4301.5800000000163</v>
      </c>
      <c r="C31" s="65">
        <f t="shared" si="8"/>
        <v>107.5395000000004</v>
      </c>
      <c r="D31" s="10"/>
      <c r="E31" s="10" t="s">
        <v>167</v>
      </c>
      <c r="F31" s="9">
        <f>C37</f>
        <v>7812.4604999999992</v>
      </c>
      <c r="G31" s="10" t="s">
        <v>291</v>
      </c>
    </row>
    <row r="32" spans="1:7" ht="24" x14ac:dyDescent="0.8">
      <c r="E32" s="10" t="s">
        <v>169</v>
      </c>
      <c r="F32">
        <v>70</v>
      </c>
      <c r="G32" s="10" t="s">
        <v>168</v>
      </c>
    </row>
    <row r="33" spans="1:7" ht="24" x14ac:dyDescent="0.8">
      <c r="A33" s="10" t="s">
        <v>170</v>
      </c>
      <c r="B33" s="64">
        <f>+B4</f>
        <v>277425</v>
      </c>
      <c r="C33" s="65">
        <f>+B33/$F$28</f>
        <v>6935.625</v>
      </c>
      <c r="E33" s="10" t="s">
        <v>294</v>
      </c>
      <c r="F33" s="95">
        <f>+D24/F28</f>
        <v>7920</v>
      </c>
      <c r="G33" s="10" t="s">
        <v>291</v>
      </c>
    </row>
    <row r="34" spans="1:7" ht="24" x14ac:dyDescent="0.8">
      <c r="A34" s="10" t="s">
        <v>171</v>
      </c>
      <c r="B34" s="64">
        <f>+C4</f>
        <v>21994.92</v>
      </c>
      <c r="C34" s="65">
        <f t="shared" ref="C34:C37" si="9">+B34/$F$28</f>
        <v>549.87299999999993</v>
      </c>
    </row>
    <row r="35" spans="1:7" ht="24" x14ac:dyDescent="0.8">
      <c r="A35" s="10" t="s">
        <v>172</v>
      </c>
      <c r="B35" s="64">
        <f>+B18</f>
        <v>450</v>
      </c>
      <c r="C35" s="65">
        <f t="shared" si="9"/>
        <v>11.25</v>
      </c>
    </row>
    <row r="36" spans="1:7" ht="24" x14ac:dyDescent="0.8">
      <c r="A36" s="10" t="s">
        <v>173</v>
      </c>
      <c r="B36" s="64">
        <f>+C18</f>
        <v>12628.5</v>
      </c>
      <c r="C36" s="65">
        <f t="shared" si="9"/>
        <v>315.71249999999998</v>
      </c>
    </row>
    <row r="37" spans="1:7" ht="24" x14ac:dyDescent="0.8">
      <c r="A37" s="10" t="s">
        <v>174</v>
      </c>
      <c r="B37" s="64">
        <f>+D23</f>
        <v>312498.42</v>
      </c>
      <c r="C37" s="65">
        <f t="shared" si="9"/>
        <v>7812.4604999999992</v>
      </c>
    </row>
  </sheetData>
  <mergeCells count="2">
    <mergeCell ref="A2:A3"/>
    <mergeCell ref="E2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CC846F39453D4594C574F451DEBD63" ma:contentTypeVersion="3" ma:contentTypeDescription="Create a new document." ma:contentTypeScope="" ma:versionID="82524e09888dc75afa4d9739fd0ba986">
  <xsd:schema xmlns:xsd="http://www.w3.org/2001/XMLSchema" xmlns:xs="http://www.w3.org/2001/XMLSchema" xmlns:p="http://schemas.microsoft.com/office/2006/metadata/properties" xmlns:ns2="67279e54-94b2-4793-93f3-52c52c77370b" targetNamespace="http://schemas.microsoft.com/office/2006/metadata/properties" ma:root="true" ma:fieldsID="50ca57240a324804fc520a9c44a63778" ns2:_="">
    <xsd:import namespace="67279e54-94b2-4793-93f3-52c52c7737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79e54-94b2-4793-93f3-52c52c773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24E7AE-133B-4318-8CB7-913CD48648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12162C-74E5-4A06-B30F-323B3439D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279e54-94b2-4793-93f3-52c52c773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6F9E2A-0026-4444-B565-A917F7146456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7279e54-94b2-4793-93f3-52c52c77370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Ratio analysis</vt:lpstr>
      <vt:lpstr>ตัวอย่างงบดุล</vt:lpstr>
      <vt:lpstr>CRA พืชอายุสั้น</vt:lpstr>
      <vt:lpstr>CRA พืชอายุยาว</vt:lpstr>
      <vt:lpstr>CRA สุกรขุน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Suwanna Sayruamyat</cp:lastModifiedBy>
  <cp:revision/>
  <dcterms:created xsi:type="dcterms:W3CDTF">2023-08-02T08:43:55Z</dcterms:created>
  <dcterms:modified xsi:type="dcterms:W3CDTF">2023-09-13T01:25:08Z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0x010100C5CC846F39453D4594C574F451DEBD63</vt:lpwstr>
  </property>
</Properties>
</file>